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Up1+tJdSMnVTm0YPlrf9LwHmi2l03teeW2Obfn91rZU6M+uVFluFELBaTJdxWj7O80DnVz0JhPY15ht4j9hqlw==" workbookSaltValue="bv3qrgQWuBlkz31SHQ24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M23"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J32" i="20"/>
  <c r="Q32" i="20"/>
  <c r="AE32" i="20"/>
  <c r="AZ32" i="20"/>
  <c r="W32" i="20"/>
  <c r="AJ32" i="20"/>
  <c r="G30" i="14"/>
  <c r="G23" i="14"/>
  <c r="U18" i="11"/>
  <c r="AX32" i="20"/>
  <c r="Y32" i="20"/>
  <c r="L32" i="20"/>
  <c r="AG32" i="20"/>
  <c r="H32" i="20"/>
  <c r="T32" i="21"/>
  <c r="F32" i="20"/>
  <c r="AF32" i="20"/>
  <c r="G26" i="14"/>
  <c r="S32" i="20"/>
  <c r="K32" i="20"/>
  <c r="AQ32" i="21"/>
  <c r="O17" i="11"/>
  <c r="U10" i="11"/>
  <c r="I32" i="20"/>
  <c r="AK32" i="20"/>
  <c r="U12" i="11"/>
  <c r="AU32" i="20"/>
  <c r="G14" i="14"/>
  <c r="O18" i="11"/>
  <c r="R32" i="20"/>
  <c r="BF17" i="8" l="1"/>
  <c r="T31" i="8"/>
  <c r="F28" i="2"/>
  <c r="BH30" i="16"/>
  <c r="S10" i="14"/>
  <c r="V10" i="14" s="1"/>
  <c r="S13" i="14"/>
  <c r="V13" i="14" s="1"/>
  <c r="S21" i="14"/>
  <c r="V21" i="14" s="1"/>
  <c r="S18" i="14"/>
  <c r="V18" i="14" s="1"/>
  <c r="S28" i="14"/>
  <c r="V28" i="14" s="1"/>
  <c r="BG17" i="13"/>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<sst xmlns="http://schemas.openxmlformats.org/spreadsheetml/2006/main" count="2682" uniqueCount="1193">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</sst>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YFqn/XqZjqNrQ9bs7Hr2R4P/OH6f9f9QGdNfwFBqt2WE2oCrGpHF60o5So3UdZDcrXm4wUxHPn10EMNvOA8jg==" saltValue="LYx6b7Vkqtc9vuiQR/PG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26</v>
      </c>
      <c r="E10" s="240">
        <f>IF(ISNUMBER(Datos!J10),Datos!J10," - ")</f>
        <v>7</v>
      </c>
      <c r="F10" s="240">
        <f>IF(ISNUMBER(Datos!K10),Datos!K10," - ")</f>
        <v>2</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0.17241379310344829</v>
      </c>
      <c r="L10" s="1402">
        <f>IF(ISNUMBER(NºAsuntos!I10/NºAsuntos!G10),(NºAsuntos!I10/NºAsuntos!G10)*11," - ")</f>
        <v>187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39.24444444444444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26</v>
      </c>
      <c r="E14" s="1408">
        <f>SUBTOTAL(9,E9:E13)</f>
        <v>7</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1084</v>
      </c>
      <c r="D17" s="239">
        <f>IF(ISNUMBER(IF(D_I="SI",Datos!I17,Datos!I17+Datos!AC17)),IF(D_I="SI",Datos!I17,Datos!I17+Datos!AC17)," - ")</f>
        <v>1141</v>
      </c>
      <c r="E17" s="240">
        <f>IF(ISNUMBER(IF(D_I="SI",Datos!J17,Datos!J17+Datos!AD17)),IF(D_I="SI",Datos!J17,Datos!J17+Datos!AD17)," - ")</f>
        <v>539</v>
      </c>
      <c r="F17" s="240">
        <f>IF(ISNUMBER(IF(D_I="SI",Datos!K17,Datos!K17+Datos!AE17)),IF(D_I="SI",Datos!K17,Datos!K17+Datos!AE17)," - ")</f>
        <v>604</v>
      </c>
      <c r="G17" s="1390" t="str">
        <f>IF(Datos!E17&lt;&gt;"",Datos!E17,Datos!D17)</f>
        <v>04</v>
      </c>
      <c r="H17" s="241">
        <f>IF(ISNUMBER(IF(D_I="SI",Datos!L17,Datos!L17+Datos!AF17)),IF(D_I="SI",Datos!L17,Datos!L17+Datos!AF17)," - ")</f>
        <v>1019</v>
      </c>
      <c r="I17" s="1400" t="str">
        <f>IF(ISNUMBER(Datos!AS17/Datos!BM17),Datos!AS17/Datos!BM17," - ")</f>
        <v xml:space="preserve"> - </v>
      </c>
      <c r="J17" s="1401">
        <f>IF(ISNUMBER(Datos!BY17/Datos!CN17),Datos!BY17/Datos!CN17," - ")</f>
        <v>0</v>
      </c>
      <c r="K17" s="244">
        <f t="shared" si="3"/>
        <v>-5.996309963099631E-2</v>
      </c>
      <c r="L17" s="1402">
        <f>IF(ISNUMBER(NºAsuntos!I17/NºAsuntos!G17),(NºAsuntos!I17/NºAsuntos!G17)*11," - ")</f>
        <v>18.557947019867548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140</v>
      </c>
      <c r="D18" s="239">
        <f>IF(ISNUMBER(IF(D_I="SI",Datos!I18,Datos!I18+Datos!AC18)),IF(D_I="SI",Datos!I18,Datos!I18+Datos!AC18)," - ")</f>
        <v>140</v>
      </c>
      <c r="E18" s="240">
        <f>IF(ISNUMBER(IF(D_I="SI",Datos!J18,Datos!J18+Datos!AD18)),IF(D_I="SI",Datos!J18,Datos!J18+Datos!AD18)," - ")</f>
        <v>40</v>
      </c>
      <c r="F18" s="240">
        <f>IF(ISNUMBER(IF(D_I="SI",Datos!K18,Datos!K18+Datos!AE18)),IF(D_I="SI",Datos!K18,Datos!K18+Datos!AE18)," - ")</f>
        <v>52</v>
      </c>
      <c r="G18" s="1390" t="str">
        <f>IF(Datos!E18&lt;&gt;"",Datos!E18,Datos!D18)</f>
        <v>37</v>
      </c>
      <c r="H18" s="241">
        <f>IF(ISNUMBER(IF(D_I="SI",Datos!L18,Datos!L18+Datos!AF18)),IF(D_I="SI",Datos!L18,Datos!L18+Datos!AF18)," - ")</f>
        <v>128</v>
      </c>
      <c r="I18" s="1400" t="str">
        <f>IF(ISNUMBER(Datos!AS18/Datos!BM18),Datos!AS18/Datos!BM18," - ")</f>
        <v xml:space="preserve"> - </v>
      </c>
      <c r="J18" s="1401" t="str">
        <f>IF(ISNUMBER((Datos!BY18+Datos!BZ18)/Datos!CN18),(Datos!BY18+Datos!BZ18)/Datos!CN18," - ")</f>
        <v xml:space="preserve"> - </v>
      </c>
      <c r="K18" s="244">
        <f t="shared" si="3"/>
        <v>-8.5714285714285715E-2</v>
      </c>
      <c r="L18" s="1402">
        <f>IF(ISNUMBER(NºAsuntos!I18/NºAsuntos!G18),(NºAsuntos!I18/NºAsuntos!G18)*11," - ")</f>
        <v>27.07692307692308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1224</v>
      </c>
      <c r="D23" s="1407">
        <f>SUBTOTAL(9,D16:D22)</f>
        <v>1281</v>
      </c>
      <c r="E23" s="1408">
        <f>SUBTOTAL(9,E16:E22)</f>
        <v>579</v>
      </c>
      <c r="F23" s="1408">
        <f>SUBTOTAL(9,F16:F22)</f>
        <v>656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1253</v>
      </c>
      <c r="D31" s="1435">
        <f>SUBTOTAL(9,D9:D30)</f>
        <v>1307</v>
      </c>
      <c r="E31" s="1436">
        <f>SUBTOTAL(9,E9:E30)</f>
        <v>586</v>
      </c>
      <c r="F31" s="1436">
        <f>SUBTOTAL(9,F9:F30)</f>
        <v>658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oR7QBDKeGCmGj0cXk1OA+oG50792ySlU3SsffwK86yVFP/Tmy6ZG9m+v8e2rIBXv2HPGnyLPnOHO31CIF4JJA==" saltValue="DhVjpPloU7qtEezjEWki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zDVye9ycsy1LSJG/3Jvsc7Joc7l9o0hU+++P6USkmBGyTuWFtvF6vuY1U1Rg1+ZtgdNNm70hI8t65vKUal0cg==" saltValue="IMgzG271WuZOG93dN/fD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7</v>
      </c>
      <c r="K10" s="194">
        <v>2</v>
      </c>
      <c r="L10" s="194">
        <v>34</v>
      </c>
      <c r="M10" s="194">
        <v>2</v>
      </c>
      <c r="N10" s="194">
        <v>1</v>
      </c>
      <c r="O10" s="194">
        <v>0</v>
      </c>
      <c r="P10" s="194">
        <v>2</v>
      </c>
      <c r="Q10" s="194">
        <v>6</v>
      </c>
      <c r="R10" s="194">
        <v>23</v>
      </c>
      <c r="S10" s="194">
        <v>25</v>
      </c>
      <c r="T10" s="194">
        <v>4</v>
      </c>
      <c r="U10" s="194">
        <v>7</v>
      </c>
      <c r="V10" s="194">
        <v>24</v>
      </c>
      <c r="W10" s="194">
        <v>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4</v>
      </c>
      <c r="BA10" s="139">
        <f t="shared" si="0"/>
        <v>7</v>
      </c>
      <c r="BB10" s="139">
        <f t="shared" si="0"/>
        <v>24</v>
      </c>
      <c r="BC10" s="135">
        <f t="shared" si="0"/>
        <v>2</v>
      </c>
      <c r="BD10" s="136">
        <f>IF(ISNUMBER(BA10/AZ10),BA10/AZ10," - ")</f>
        <v>1.75</v>
      </c>
      <c r="BE10" s="137">
        <f>IF(ISNUMBER(BB10/BA10),BB10/BA10, " - ")</f>
        <v>3.4285714285714284</v>
      </c>
      <c r="BF10" s="137">
        <f>IF(ISNUMBER(BC10/BA10),BC10/BA10, " - ")</f>
        <v>0.2857142857142857</v>
      </c>
      <c r="BG10" s="209">
        <f>IF(ISNUMBER((AY10+AZ10)/BA10),(AY10+AZ10)/BA10," - ")</f>
        <v>4.1428571428571432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1805</v>
      </c>
      <c r="J12" s="196">
        <v>514</v>
      </c>
      <c r="K12" s="196">
        <v>477</v>
      </c>
      <c r="L12" s="196">
        <v>1721</v>
      </c>
      <c r="M12" s="196">
        <v>106</v>
      </c>
      <c r="N12" s="196">
        <v>188</v>
      </c>
      <c r="O12" s="194">
        <v>235</v>
      </c>
      <c r="P12" s="196">
        <v>141</v>
      </c>
      <c r="Q12" s="196">
        <v>65</v>
      </c>
      <c r="R12" s="196">
        <v>2508</v>
      </c>
      <c r="S12" s="196">
        <v>1666</v>
      </c>
      <c r="T12" s="196">
        <v>441</v>
      </c>
      <c r="U12" s="196">
        <v>305</v>
      </c>
      <c r="V12" s="196">
        <v>1802</v>
      </c>
      <c r="W12" s="196">
        <v>42</v>
      </c>
      <c r="X12" s="202">
        <v>140</v>
      </c>
      <c r="Y12" s="204">
        <v>30</v>
      </c>
      <c r="Z12" s="194">
        <v>33</v>
      </c>
      <c r="AA12" s="194">
        <v>18</v>
      </c>
      <c r="AB12" s="194">
        <v>45</v>
      </c>
      <c r="AC12" s="196">
        <v>0</v>
      </c>
      <c r="AD12" s="196">
        <v>0</v>
      </c>
      <c r="AE12" s="196">
        <v>0</v>
      </c>
      <c r="AF12" s="202">
        <v>0</v>
      </c>
      <c r="AG12" s="215">
        <v>33</v>
      </c>
      <c r="AH12" s="196">
        <v>12</v>
      </c>
      <c r="AI12" s="196">
        <v>21</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1699</v>
      </c>
      <c r="AZ12" s="137">
        <f t="shared" si="1"/>
        <v>453</v>
      </c>
      <c r="BA12" s="137">
        <f t="shared" si="1"/>
        <v>326</v>
      </c>
      <c r="BB12" s="137">
        <f t="shared" si="1"/>
        <v>1828</v>
      </c>
      <c r="BC12" s="135">
        <f>IF(ISNUMBER(X12),X12," - ")</f>
        <v>140</v>
      </c>
      <c r="BD12" s="136">
        <f t="shared" si="2"/>
        <v>0.7196467991169978</v>
      </c>
      <c r="BE12" s="137">
        <f t="shared" si="3"/>
        <v>5.6073619631901837</v>
      </c>
      <c r="BF12" s="137">
        <f t="shared" si="4"/>
        <v>0.42944785276073622</v>
      </c>
      <c r="BG12" s="209">
        <f t="shared" si="5"/>
        <v>6.6012269938650308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1831</v>
      </c>
      <c r="J14" s="197">
        <f t="shared" si="7"/>
        <v>521</v>
      </c>
      <c r="K14" s="197">
        <f t="shared" si="7"/>
        <v>479</v>
      </c>
      <c r="L14" s="197">
        <f t="shared" si="7"/>
        <v>1755</v>
      </c>
      <c r="M14" s="197">
        <f t="shared" si="7"/>
        <v>108</v>
      </c>
      <c r="N14" s="197">
        <f t="shared" si="7"/>
        <v>189</v>
      </c>
      <c r="O14" s="197">
        <f t="shared" si="7"/>
        <v>235</v>
      </c>
      <c r="P14" s="197">
        <f t="shared" si="7"/>
        <v>143</v>
      </c>
      <c r="Q14" s="197">
        <f t="shared" si="7"/>
        <v>71</v>
      </c>
      <c r="R14" s="197">
        <f t="shared" si="7"/>
        <v>2531</v>
      </c>
      <c r="S14" s="197">
        <f t="shared" si="7"/>
        <v>1691</v>
      </c>
      <c r="T14" s="197">
        <f t="shared" si="7"/>
        <v>445</v>
      </c>
      <c r="U14" s="197">
        <f t="shared" si="7"/>
        <v>312</v>
      </c>
      <c r="V14" s="197">
        <f t="shared" si="7"/>
        <v>1826</v>
      </c>
      <c r="W14" s="197">
        <f t="shared" si="7"/>
        <v>44</v>
      </c>
      <c r="X14" s="197">
        <f t="shared" si="7"/>
        <v>145</v>
      </c>
      <c r="Y14" s="197">
        <f t="shared" si="7"/>
        <v>30</v>
      </c>
      <c r="Z14" s="197">
        <f t="shared" si="7"/>
        <v>33</v>
      </c>
      <c r="AA14" s="197">
        <f t="shared" si="7"/>
        <v>18</v>
      </c>
      <c r="AB14" s="197">
        <f t="shared" si="7"/>
        <v>45</v>
      </c>
      <c r="AC14" s="197">
        <f t="shared" si="7"/>
        <v>0</v>
      </c>
      <c r="AD14" s="197">
        <f t="shared" si="7"/>
        <v>0</v>
      </c>
      <c r="AE14" s="197">
        <f t="shared" si="7"/>
        <v>0</v>
      </c>
      <c r="AF14" s="197">
        <f>SUBTOTAL(9,AF9:AF13)</f>
        <v>0</v>
      </c>
      <c r="AG14" s="197">
        <f t="shared" ref="AG14:AT14" si="8">SUBTOTAL(9,AG8:AG13)</f>
        <v>33</v>
      </c>
      <c r="AH14" s="197">
        <f t="shared" si="8"/>
        <v>12</v>
      </c>
      <c r="AI14" s="197">
        <f t="shared" si="8"/>
        <v>21</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1724</v>
      </c>
      <c r="AZ14" s="197">
        <f>SUBTOTAL(9,AZ8:AZ13)</f>
        <v>457</v>
      </c>
      <c r="BA14" s="197">
        <f>SUBTOTAL(9,BA8:BA13)</f>
        <v>333</v>
      </c>
      <c r="BB14" s="197">
        <f>SUBTOTAL(9,BB8:BB13)</f>
        <v>1852</v>
      </c>
      <c r="BC14" s="197">
        <f>SUBTOTAL(9,BC8:BC13)</f>
        <v>142</v>
      </c>
      <c r="BD14" s="219">
        <f>IF(ISNUMBER(BA14/AZ14),BA14/AZ14," - ")</f>
        <v>0.7286652078774617</v>
      </c>
      <c r="BE14" s="220">
        <f>IF(ISNUMBER(BB14/BA14),BB14/BA14, " - ")</f>
        <v>5.5615615615615619</v>
      </c>
      <c r="BF14" s="220">
        <f>IF(ISNUMBER(BC14/BA14),BC14/BA14, " - ")</f>
        <v>0.42642642642642642</v>
      </c>
      <c r="BG14" s="221">
        <f>IF(ISNUMBER((AY14+AZ14)/BA14),(AY14+AZ14)/BA14," - ")</f>
        <v>6.5495495495495497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1141</v>
      </c>
      <c r="J17" s="196">
        <v>539</v>
      </c>
      <c r="K17" s="196">
        <v>604</v>
      </c>
      <c r="L17" s="196">
        <v>1019</v>
      </c>
      <c r="M17" s="196">
        <v>105</v>
      </c>
      <c r="N17" s="196">
        <v>323</v>
      </c>
      <c r="O17" s="194">
        <v>0</v>
      </c>
      <c r="P17" s="196">
        <v>27</v>
      </c>
      <c r="Q17" s="196">
        <v>15</v>
      </c>
      <c r="R17" s="196">
        <v>132</v>
      </c>
      <c r="S17" s="196">
        <v>939</v>
      </c>
      <c r="T17" s="196">
        <v>548</v>
      </c>
      <c r="U17" s="196">
        <v>496</v>
      </c>
      <c r="V17" s="196">
        <v>1007</v>
      </c>
      <c r="W17" s="196">
        <v>76</v>
      </c>
      <c r="X17" s="202">
        <v>289</v>
      </c>
      <c r="Y17" s="215">
        <v>0</v>
      </c>
      <c r="Z17" s="196">
        <v>0</v>
      </c>
      <c r="AA17" s="196">
        <v>0</v>
      </c>
      <c r="AB17" s="196">
        <v>0</v>
      </c>
      <c r="AC17" s="196">
        <v>0</v>
      </c>
      <c r="AD17" s="196">
        <v>0</v>
      </c>
      <c r="AE17" s="196">
        <v>0</v>
      </c>
      <c r="AF17" s="202">
        <v>0</v>
      </c>
      <c r="AG17" s="215">
        <v>0</v>
      </c>
      <c r="AH17" s="196">
        <v>0</v>
      </c>
      <c r="AI17" s="196">
        <v>0</v>
      </c>
      <c r="AJ17" s="216">
        <v>0</v>
      </c>
      <c r="AK17" s="195">
        <v>2</v>
      </c>
      <c r="AL17" s="196">
        <v>1</v>
      </c>
      <c r="AM17" s="196">
        <v>3</v>
      </c>
      <c r="AN17" s="202">
        <v>0</v>
      </c>
      <c r="AO17" s="283">
        <v>2</v>
      </c>
      <c r="AP17" s="168">
        <v>2</v>
      </c>
      <c r="AQ17" s="168">
        <v>2</v>
      </c>
      <c r="AR17" s="168">
        <v>2</v>
      </c>
      <c r="AS17" s="381" t="s">
        <v>650</v>
      </c>
      <c r="AT17" s="216"/>
      <c r="AU17" s="215"/>
      <c r="AV17" s="216"/>
      <c r="AW17" s="215"/>
      <c r="AX17" s="216"/>
      <c r="AY17" s="136">
        <f t="shared" si="10"/>
        <v>939</v>
      </c>
      <c r="AZ17" s="137">
        <f t="shared" si="10"/>
        <v>548</v>
      </c>
      <c r="BA17" s="137">
        <f t="shared" si="10"/>
        <v>496</v>
      </c>
      <c r="BB17" s="137">
        <f t="shared" si="10"/>
        <v>1007</v>
      </c>
      <c r="BC17" s="135">
        <f>IF(ISNUMBER(W17),W17," - ")</f>
        <v>76</v>
      </c>
      <c r="BD17" s="136">
        <f t="shared" ref="BD17:BD22" si="12">IF(ISNUMBER(BA17/AZ17),BA17/AZ17," - ")</f>
        <v>0.9051094890510949</v>
      </c>
      <c r="BE17" s="137">
        <f t="shared" ref="BE17:BE22" si="13">IF(ISNUMBER(BB17/BA17),BB17/BA17, " - ")</f>
        <v>2.030241935483871</v>
      </c>
      <c r="BF17" s="137">
        <f t="shared" ref="BF17:BF22" si="14">IF(ISNUMBER(BC17/BA17),BC17/BA17, " - ")</f>
        <v>0.15322580645161291</v>
      </c>
      <c r="BG17" s="209">
        <f t="shared" si="11"/>
        <v>2.997983870967742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140</v>
      </c>
      <c r="J18" s="196">
        <v>40</v>
      </c>
      <c r="K18" s="196">
        <v>52</v>
      </c>
      <c r="L18" s="196">
        <v>128</v>
      </c>
      <c r="M18" s="196">
        <v>0</v>
      </c>
      <c r="N18" s="196">
        <v>37</v>
      </c>
      <c r="O18" s="196">
        <v>0</v>
      </c>
      <c r="P18" s="196">
        <v>0</v>
      </c>
      <c r="Q18" s="196">
        <v>0</v>
      </c>
      <c r="R18" s="196">
        <v>3</v>
      </c>
      <c r="S18" s="196">
        <v>109</v>
      </c>
      <c r="T18" s="196">
        <v>65</v>
      </c>
      <c r="U18" s="196">
        <v>69</v>
      </c>
      <c r="V18" s="196">
        <v>109</v>
      </c>
      <c r="W18" s="196">
        <v>3</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109</v>
      </c>
      <c r="AZ18" s="139">
        <f t="shared" si="15"/>
        <v>65</v>
      </c>
      <c r="BA18" s="139">
        <f t="shared" si="15"/>
        <v>69</v>
      </c>
      <c r="BB18" s="139">
        <f t="shared" si="15"/>
        <v>109</v>
      </c>
      <c r="BC18" s="135">
        <f>IF(ISNUMBER(W18),W18," - ")</f>
        <v>3</v>
      </c>
      <c r="BD18" s="136">
        <f>IF(ISNUMBER(BA18/AZ18),BA18/AZ18," - ")</f>
        <v>1.0615384615384615</v>
      </c>
      <c r="BE18" s="137">
        <f>IF(ISNUMBER(BB18/BA18),BB18/BA18, " - ")</f>
        <v>1.5797101449275361</v>
      </c>
      <c r="BF18" s="137">
        <f>IF(ISNUMBER(BC18/BA18),BC18/BA18, " - ")</f>
        <v>4.3478260869565216E-2</v>
      </c>
      <c r="BG18" s="209">
        <f>IF(ISNUMBER((AY18+AZ18)/BA18),(AY18+AZ18)/BA18," - ")</f>
        <v>2.5217391304347827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1281</v>
      </c>
      <c r="J23" s="197">
        <f t="shared" si="21"/>
        <v>579</v>
      </c>
      <c r="K23" s="197">
        <f t="shared" si="21"/>
        <v>656</v>
      </c>
      <c r="L23" s="197">
        <f t="shared" si="21"/>
        <v>1147</v>
      </c>
      <c r="M23" s="197">
        <f t="shared" si="21"/>
        <v>105</v>
      </c>
      <c r="N23" s="197">
        <f t="shared" si="21"/>
        <v>360</v>
      </c>
      <c r="O23" s="197">
        <f t="shared" si="21"/>
        <v>0</v>
      </c>
      <c r="P23" s="197">
        <f t="shared" si="21"/>
        <v>27</v>
      </c>
      <c r="Q23" s="197">
        <f t="shared" si="21"/>
        <v>15</v>
      </c>
      <c r="R23" s="197">
        <f t="shared" si="21"/>
        <v>135</v>
      </c>
      <c r="S23" s="197">
        <f t="shared" si="21"/>
        <v>1048</v>
      </c>
      <c r="T23" s="197">
        <f t="shared" si="21"/>
        <v>613</v>
      </c>
      <c r="U23" s="197">
        <f t="shared" si="21"/>
        <v>565</v>
      </c>
      <c r="V23" s="197">
        <f t="shared" si="21"/>
        <v>1116</v>
      </c>
      <c r="W23" s="197">
        <f t="shared" si="21"/>
        <v>79</v>
      </c>
      <c r="X23" s="197">
        <f t="shared" si="21"/>
        <v>337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1</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1048</v>
      </c>
      <c r="AZ23" s="197">
        <f>SUBTOTAL(9,AZ15:AZ22)</f>
        <v>613</v>
      </c>
      <c r="BA23" s="197">
        <f>SUBTOTAL(9,BA15:BA22)</f>
        <v>565</v>
      </c>
      <c r="BB23" s="197">
        <f>SUBTOTAL(9,BB15:BB22)</f>
        <v>1116</v>
      </c>
      <c r="BC23" s="197">
        <f>SUBTOTAL(9,BC15:BC22)</f>
        <v>79</v>
      </c>
      <c r="BD23" s="219">
        <f>IF(ISNUMBER(BA23/AZ23),BA23/AZ23," - ")</f>
        <v>0.9216965742251223</v>
      </c>
      <c r="BE23" s="220">
        <f>IF(ISNUMBER(BB23/BA23),BB23/BA23, " - ")</f>
        <v>1.975221238938053</v>
      </c>
      <c r="BF23" s="220">
        <f>IF(ISNUMBER(BC23/BA23),BC23/BA23, " - ")</f>
        <v>0.13982300884955753</v>
      </c>
      <c r="BG23" s="221">
        <f>IF(ISNUMBER((AY23+AZ23)/BA23),(AY23+AZ23)/BA23," - ")</f>
        <v>2.9398230088495576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3112</v>
      </c>
      <c r="J31" s="144">
        <f t="shared" si="36"/>
        <v>1100</v>
      </c>
      <c r="K31" s="144">
        <f t="shared" si="36"/>
        <v>1135</v>
      </c>
      <c r="L31" s="144">
        <f t="shared" si="36"/>
        <v>2902</v>
      </c>
      <c r="M31" s="144">
        <f t="shared" si="36"/>
        <v>213</v>
      </c>
      <c r="N31" s="144">
        <f t="shared" si="36"/>
        <v>549</v>
      </c>
      <c r="O31" s="144">
        <f t="shared" si="36"/>
        <v>235</v>
      </c>
      <c r="P31" s="144">
        <f t="shared" si="36"/>
        <v>170</v>
      </c>
      <c r="Q31" s="144">
        <f t="shared" si="36"/>
        <v>86</v>
      </c>
      <c r="R31" s="144">
        <f t="shared" si="36"/>
        <v>2666</v>
      </c>
      <c r="S31" s="144">
        <f t="shared" si="36"/>
        <v>2739</v>
      </c>
      <c r="T31" s="144">
        <f t="shared" si="36"/>
        <v>1058</v>
      </c>
      <c r="U31" s="144">
        <f t="shared" si="36"/>
        <v>877</v>
      </c>
      <c r="V31" s="144">
        <f t="shared" si="36"/>
        <v>2942</v>
      </c>
      <c r="W31" s="144">
        <f t="shared" si="36"/>
        <v>123</v>
      </c>
      <c r="X31" s="144">
        <f t="shared" si="36"/>
        <v>482</v>
      </c>
      <c r="Y31" s="144">
        <f t="shared" si="36"/>
        <v>30</v>
      </c>
      <c r="Z31" s="144">
        <f t="shared" si="36"/>
        <v>33</v>
      </c>
      <c r="AA31" s="144">
        <f t="shared" si="36"/>
        <v>18</v>
      </c>
      <c r="AB31" s="144">
        <f t="shared" si="36"/>
        <v>45</v>
      </c>
      <c r="AC31" s="144">
        <f t="shared" si="36"/>
        <v>0</v>
      </c>
      <c r="AD31" s="144">
        <f t="shared" si="36"/>
        <v>0</v>
      </c>
      <c r="AE31" s="144">
        <f t="shared" si="36"/>
        <v>0</v>
      </c>
      <c r="AF31" s="144">
        <f t="shared" si="36"/>
        <v>0</v>
      </c>
      <c r="AG31" s="144">
        <f t="shared" si="36"/>
        <v>33</v>
      </c>
      <c r="AH31" s="144">
        <f t="shared" si="36"/>
        <v>12</v>
      </c>
      <c r="AI31" s="144">
        <f t="shared" si="36"/>
        <v>21</v>
      </c>
      <c r="AJ31" s="144">
        <f t="shared" si="36"/>
        <v>26</v>
      </c>
      <c r="AK31" s="144">
        <f t="shared" si="36"/>
        <v>2</v>
      </c>
      <c r="AL31" s="144">
        <f t="shared" si="36"/>
        <v>1</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2772</v>
      </c>
      <c r="AZ31" s="144">
        <f>SUBTOTAL(9,AZ9:AZ30)</f>
        <v>1070</v>
      </c>
      <c r="BA31" s="144">
        <f>SUBTOTAL(9,BA9:BA30)</f>
        <v>898</v>
      </c>
      <c r="BB31" s="144">
        <f>SUBTOTAL(9,BB9:BB30)</f>
        <v>2968</v>
      </c>
      <c r="BC31" s="145">
        <f>SUBTOTAL(9,BC9:BC30)</f>
        <v>221</v>
      </c>
      <c r="BD31" s="227">
        <f>IF(ISNUMBER(BA31/AZ31),BA31/AZ31," - ")</f>
        <v>0.83925233644859809</v>
      </c>
      <c r="BE31" s="224">
        <f>IF(ISNUMBER(BB31/BA31),BB31/BA31, " - ")</f>
        <v>3.3051224944320712</v>
      </c>
      <c r="BF31" s="224">
        <f>IF(ISNUMBER(BC31/BA31),BC31/BA31, " - ")</f>
        <v>0.24610244988864144</v>
      </c>
      <c r="BG31" s="145">
        <f>IF(ISNUMBER((AY31+AZ31)/BA31),(AY31+AZ31)/BA31," - ")</f>
        <v>4.2783964365256129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Y9v2lG4cQRBS5xdFk68367MjCo3NhDlYzq4DvU8dlZhPRfo/4Jjuv2Ctf8J1giP/iBXe+FR69jhhz1kM5ut1Q==" saltValue="mWWmwRaTY7BfysYbHlgx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98K9S8zi06kJFlmt7P0swU+udPwIfcp5DvAmcgcITex+BhM4tmJkyVGX6noucXaQIUM3S+GoGT20LTplW5fg==" saltValue="fmRTYgLj13GoXWD+pbVl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OLOT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6</v>
      </c>
      <c r="AD10" s="549"/>
      <c r="AE10" s="563"/>
      <c r="AF10" s="551">
        <f>IF(ISNUMBER(Datos!L10),Datos!L10,"-")</f>
        <v>34</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0.2857142857142857</v>
      </c>
      <c r="BH10" s="764">
        <f>IF(ISNUMBER(((Datos!L10/Datos!K10)*11)/factor_trimestre),((Datos!L10/Datos!K10)*11)/factor_trimestre," - ")</f>
        <v>51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-0.14814814814814814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141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2508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188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0.90493601462522855</v>
      </c>
      <c r="BH12" s="764">
        <f>IF(ISNUMBER(((IF(J_V="SI",Datos!L12/Datos!K12,(Datos!L12+Datos!AB12)/(Datos!K12+Datos!AA12)))*11)/factor_trimestre),((IF(J_V="SI",Datos!L12/Datos!K12,(Datos!L12+Datos!AB12)/(Datos!K12+Datos!AA12)))*11)/factor_trimestre," - ")</f>
        <v>10.703030303030303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29</v>
      </c>
      <c r="G14" s="1197">
        <f t="shared" si="1"/>
        <v>26</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71</v>
      </c>
      <c r="AD14" s="1198">
        <f t="shared" si="2"/>
        <v>0</v>
      </c>
      <c r="AE14" s="1198">
        <f t="shared" si="2"/>
        <v>0</v>
      </c>
      <c r="AF14" s="1198">
        <f t="shared" si="2"/>
        <v>34</v>
      </c>
      <c r="AG14" s="1198">
        <f t="shared" si="2"/>
        <v>0</v>
      </c>
      <c r="AH14" s="1198">
        <f t="shared" si="2"/>
        <v>45</v>
      </c>
      <c r="AI14" s="1198">
        <f t="shared" si="2"/>
        <v>0</v>
      </c>
      <c r="AJ14" s="1198">
        <f t="shared" si="2"/>
        <v>0</v>
      </c>
      <c r="AK14" s="1198">
        <f t="shared" si="2"/>
        <v>0</v>
      </c>
      <c r="AL14" s="1198">
        <f t="shared" si="2"/>
        <v>0</v>
      </c>
      <c r="AM14" s="1198">
        <f t="shared" si="2"/>
        <v>2531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v>
      </c>
      <c r="BD14" s="1198">
        <f t="shared" si="2"/>
        <v>189</v>
      </c>
      <c r="BE14" s="1198">
        <f t="shared" si="2"/>
        <v>0</v>
      </c>
      <c r="BF14" s="1198">
        <f t="shared" si="2"/>
        <v>0</v>
      </c>
      <c r="BG14" s="1198">
        <f>IF(ISNUMBER(Datos!K14/Datos!J14),Datos!K14/Datos!J14," - ")</f>
        <v>0.91938579654510555</v>
      </c>
      <c r="BH14" s="1202">
        <f>IF(ISNUMBER(((Datos!L14/Datos!K14)*11)/factor_trimestre),((Datos!L14/Datos!K14)*11)/factor_trimestre," - ")</f>
        <v>10.991649269311067</v>
      </c>
      <c r="BI14" s="1198">
        <f>IF(ISNUMBER('Resol  Asuntos'!D14/NºAsuntos!G14),'Resol  Asuntos'!D14/NºAsuntos!G14," - ")</f>
        <v>0.21730382293762576</v>
      </c>
      <c r="BJ14" s="1198" t="str">
        <f>IF(ISNUMBER(Datos!CI14/Datos!CJ14),Datos!CI14/Datos!CJ14," - ")</f>
        <v xml:space="preserve"> - </v>
      </c>
      <c r="BK14" s="1198">
        <f>SUBTOTAL(9,BK8:BK13)</f>
        <v>0</v>
      </c>
      <c r="BL14" s="1198">
        <f>IF(ISNUMBER((I14-AB14+L14)/(F14)),(I14-AB14+L14)/(F14)," - ")</f>
        <v>-6.8965517241379309E-2</v>
      </c>
      <c r="BM14" s="1203">
        <f>SUBTOTAL(9,BM9:BM13)</f>
        <v>-0.11689814814814814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1084</v>
      </c>
      <c r="G17" s="743">
        <f>IF(ISNUMBER(IF(D_I="SI",Datos!I17,Datos!I17+Datos!AC17)),IF(D_I="SI",Datos!I17,Datos!I17+Datos!AC17)," - ")</f>
        <v>1141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604</v>
      </c>
      <c r="AC17" s="240">
        <f>IF(ISNUMBER(Datos!Q17),Datos!Q17," - ")</f>
        <v>15</v>
      </c>
      <c r="AD17" s="374"/>
      <c r="AE17" s="562"/>
      <c r="AF17" s="741">
        <f>IF(ISNUMBER(IF(D_I="SI",Datos!L17,Datos!L17+Datos!AF17)),IF(D_I="SI",Datos!L17,Datos!L17+Datos!AF17)," - ")</f>
        <v>1019</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323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1.1205936920222634</v>
      </c>
      <c r="BH17" s="764">
        <f>IF(ISNUMBER(((IF(D_I="SI",Datos!L17/Datos!K17,(Datos!L17+Datos!AF17)/(Datos!K17+Datos!AE17)))*11)/factor_trimestre),((IF(D_I="SI",Datos!L17/Datos!K17,(Datos!L17+Datos!AF17)/(Datos!K17+Datos!AE17)))*11)/factor_trimestre," - ")</f>
        <v>5.0612582781456954</v>
      </c>
      <c r="BI17" s="266">
        <f>IF(ISNUMBER('Resol  Asuntos'!D17/NºAsuntos!G17),'Resol  Asuntos'!D17/NºAsuntos!G17," - ")</f>
        <v>0.17384105960264901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0</v>
      </c>
      <c r="AD18" s="549"/>
      <c r="AE18" s="562"/>
      <c r="AF18" s="551">
        <f>IF(ISNUMBER(Datos!L18),Datos!L18,"-")</f>
        <v>128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v>
      </c>
      <c r="BH18" s="764">
        <f>IF(ISNUMBER(((IF(D_I="SI",Datos!L18/Datos!K18,(Datos!L18+Datos!AF18)/(Datos!K18+Datos!AE18)))*11)/factor_trimestre),((IF(D_I="SI",Datos!L18/Datos!K18,(Datos!L18+Datos!AF18)/(Datos!K18+Datos!AE18)))*11)/factor_trimestre," - ")</f>
        <v>7.3846153846153859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1084</v>
      </c>
      <c r="G23" s="1197">
        <f>SUBTOTAL(9,G16:G22)</f>
        <v>1281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656</v>
      </c>
      <c r="AC23" s="1198">
        <f t="shared" si="5"/>
        <v>15</v>
      </c>
      <c r="AD23" s="1198">
        <f t="shared" si="5"/>
        <v>0</v>
      </c>
      <c r="AE23" s="1198">
        <f t="shared" si="5"/>
        <v>0</v>
      </c>
      <c r="AF23" s="1198">
        <f t="shared" si="5"/>
        <v>1147</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360</v>
      </c>
      <c r="BE23" s="1198">
        <f t="shared" si="5"/>
        <v>0</v>
      </c>
      <c r="BF23" s="1198">
        <f t="shared" si="5"/>
        <v>0</v>
      </c>
      <c r="BG23" s="1198">
        <f>IF(ISNUMBER(Datos!K23/Datos!J23),Datos!K23/Datos!J23," - ")</f>
        <v>1.1329879101899827</v>
      </c>
      <c r="BH23" s="1202">
        <f>IF(ISNUMBER(((Datos!L23/Datos!K23)*11)/factor_trimestre),((Datos!L23/Datos!K23)*11)/factor_trimestre," - ")</f>
        <v>5.2454268292682933</v>
      </c>
      <c r="BI23" s="1198">
        <f>SUBTOTAL(9,BI16:BI22)</f>
        <v>0.17384105960264901</v>
      </c>
      <c r="BJ23" s="1198">
        <f>SUBTOTAL(9,BJ16:BJ22)</f>
        <v>0</v>
      </c>
      <c r="BK23" s="1198">
        <f>SUBTOTAL(9,BK16:BK22)</f>
        <v>0</v>
      </c>
      <c r="BL23" s="1198">
        <f>IF(ISNUMBER((I23-AB23+L23)/(F23)),(I23-AB23+L23)/(F23)," - ")</f>
        <v>-0.60516605166051662</v>
      </c>
      <c r="BM23" s="1205">
        <f>IF(ISNUMBER((Datos!P23-Datos!Q23)/(Datos!R23-Datos!P23+Datos!Q23)),(Datos!P23-Datos!Q23)/(Datos!R23-Datos!P23+Datos!Q23)," - ")</f>
        <v>9.7560975609756101E-2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1113</v>
      </c>
      <c r="G31" s="1117">
        <f t="shared" si="18"/>
        <v>1307</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658</v>
      </c>
      <c r="AC31" s="1118">
        <f t="shared" si="19"/>
        <v>86</v>
      </c>
      <c r="AD31" s="1118">
        <f t="shared" si="19"/>
        <v>0</v>
      </c>
      <c r="AE31" s="1118">
        <f t="shared" si="19"/>
        <v>0</v>
      </c>
      <c r="AF31" s="1125">
        <f t="shared" si="19"/>
        <v>1181</v>
      </c>
      <c r="AG31" s="1125">
        <f t="shared" si="19"/>
        <v>0</v>
      </c>
      <c r="AH31" s="1125">
        <f t="shared" si="19"/>
        <v>45</v>
      </c>
      <c r="AI31" s="1125">
        <f t="shared" si="19"/>
        <v>0</v>
      </c>
      <c r="AJ31" s="1118">
        <f t="shared" si="19"/>
        <v>0</v>
      </c>
      <c r="AK31" s="1125">
        <f t="shared" si="19"/>
        <v>0</v>
      </c>
      <c r="AL31" s="1125">
        <f t="shared" si="19"/>
        <v>0</v>
      </c>
      <c r="AM31" s="1125">
        <f t="shared" si="19"/>
        <v>2666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213</v>
      </c>
      <c r="BD31" s="1117">
        <f t="shared" si="19"/>
        <v>549</v>
      </c>
      <c r="BE31" s="1117">
        <f t="shared" si="19"/>
        <v>0</v>
      </c>
      <c r="BF31" s="1127">
        <f t="shared" si="19"/>
        <v>0</v>
      </c>
      <c r="BG31" s="1223">
        <f>IF(ISNUMBER(Datos!K31/Datos!J31),Datos!K31/Datos!J31," - ")</f>
        <v>1.0318181818181817</v>
      </c>
      <c r="BH31" s="1223">
        <f>IF(ISNUMBER(((Datos!L31/Datos!K31)*11)/factor_trimestre),((Datos!L31/Datos!K31)*11)/factor_trimestre," - ")</f>
        <v>7.6704845814977975</v>
      </c>
      <c r="BI31" s="1103">
        <f>IF(ISNUMBER(Datos!J31/Datos!I31),Datos!J31/Datos!I31," - ")</f>
        <v>0.35347043701799485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-0.5911949685534591</v>
      </c>
      <c r="BM31" s="1188">
        <f>IF(ISNUMBER((Datos!P31-Datos!Q31+R31)/(Datos!R31-Datos!P31+Datos!Q31-R31)),(Datos!P31-Datos!Q31+R31)/(Datos!R31-Datos!P31+Datos!Q31-R31)," - ")</f>
        <v>3.2532920216886134E-2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552.43967996515232</v>
      </c>
      <c r="G33" s="674">
        <f>IF(ISNUMBER(STDEV(G8:G30)),STDEV(G8:G30),"-")</f>
        <v>575.56518806672602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302.8905192749794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56.403520660124954</v>
      </c>
      <c r="BD33" s="673"/>
      <c r="BE33" s="673">
        <f>IF(ISNUMBER(STDEV(BE8:BE30)),STDEV(BE8:BE30),"-")</f>
        <v>0</v>
      </c>
      <c r="BF33" s="678">
        <f>IF(ISNUMBER(STDEV(BF8:BF30)),STDEV(BF8:BF30),"-")</f>
        <v>0</v>
      </c>
      <c r="BG33" s="1052">
        <f>IF(ISNUMBER(STDEV(BG8:BG30)),STDEV(BG8:BG30),"-")</f>
        <v>0.35471387723030118</v>
      </c>
      <c r="BH33" s="1058">
        <f>IF(ISNUMBER(STDEV(BH8:BH30)),STDEV(BH8:BH30),"-")</f>
        <v>17.790055433597342</v>
      </c>
      <c r="BI33" s="273">
        <f>IF(ISNUMBER(STDEV(BI8:BI30)),STDEV(BI8:BI30),"-")</f>
        <v>9.6367526975409332E-2</v>
      </c>
      <c r="BJ33" s="244" t="str">
        <f>IF(ISNUMBER(BL33/BM33),BL33/BM33," - ")</f>
        <v xml:space="preserve"> - </v>
      </c>
      <c r="BK33" s="709"/>
      <c r="BL33" s="681">
        <f>IF(ISNUMBER(STDEV(BL8:BL30)),STDEV(BL8:BL30),"-")</f>
        <v>0.37915103396362271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W25pRqG96SR4nklMxxCC0kRTR5KfjaHBReGOSXXfCI336jLFqVv6ooeAo9+wO09HVys523rSbKdFwNPT4Us6g==" saltValue="FUHCPKRpFe8IdkbhPTn2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OLOT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6</v>
      </c>
      <c r="AA10" s="551">
        <f>IF(ISNUMBER(Datos!L10),Datos!L10,"-")</f>
        <v>34</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-0.14814814814814814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2508</v>
      </c>
      <c r="AF12" s="693" t="str">
        <f>IF(ISNUMBER(Datos!BV12),Datos!BV12," - ")</f>
        <v xml:space="preserve"> - </v>
      </c>
      <c r="AG12" s="552" t="str">
        <f>IF(ISNUMBER(Datos!DV12),Datos!DV12," - ")</f>
        <v xml:space="preserve"> - </v>
      </c>
      <c r="AH12" s="553"/>
      <c r="AI12" s="554"/>
      <c r="AJ12" s="552">
        <f>IF(ISNUMBER(Datos!M12),Datos!M12," - ")</f>
        <v>106</v>
      </c>
      <c r="AK12" s="693">
        <f>IF(ISNUMBER(Datos!N12),Datos!N12," - ")</f>
        <v>188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10.703030303030303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29</v>
      </c>
      <c r="G14" s="1197">
        <f>SUBTOTAL(9,G8:G13)</f>
        <v>26</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71</v>
      </c>
      <c r="AA14" s="1199">
        <f t="shared" si="3"/>
        <v>34</v>
      </c>
      <c r="AB14" s="1199">
        <f t="shared" si="3"/>
        <v>0</v>
      </c>
      <c r="AC14" s="1199">
        <f t="shared" si="3"/>
        <v>0</v>
      </c>
      <c r="AD14" s="1199">
        <f t="shared" si="3"/>
        <v>0</v>
      </c>
      <c r="AE14" s="1199">
        <f t="shared" si="3"/>
        <v>2531</v>
      </c>
      <c r="AF14" s="1211">
        <f t="shared" si="3"/>
        <v>0</v>
      </c>
      <c r="AG14" s="1211">
        <f t="shared" si="3"/>
        <v>0</v>
      </c>
      <c r="AH14" s="1211">
        <f t="shared" si="3"/>
        <v>0</v>
      </c>
      <c r="AI14" s="1211">
        <f t="shared" si="3"/>
        <v>0</v>
      </c>
      <c r="AJ14" s="1211">
        <f t="shared" si="3"/>
        <v>108</v>
      </c>
      <c r="AK14" s="1211">
        <f t="shared" si="3"/>
        <v>189</v>
      </c>
      <c r="AL14" s="1211">
        <f t="shared" si="3"/>
        <v>0</v>
      </c>
      <c r="AM14" s="1211">
        <f t="shared" si="3"/>
        <v>0</v>
      </c>
      <c r="AN14" s="1211">
        <f t="shared" si="3"/>
        <v>0</v>
      </c>
      <c r="AO14" s="1203">
        <f>IF(ISNUMBER(((NºAsuntos!I14/NºAsuntos!G14)*11)/factor_trimestre),((NºAsuntos!I14/NºAsuntos!G14)*11)/factor_trimestre," - ")</f>
        <v>10.865191146881289</v>
      </c>
      <c r="AP14" s="1213" t="str">
        <f>IF(ISNUMBER(Datos!CI14/Datos!CJ14),Datos!CI14/Datos!CJ14," - ")</f>
        <v xml:space="preserve"> - </v>
      </c>
      <c r="AQ14" s="1236">
        <f t="shared" ref="AQ14:AV14" si="4">SUBTOTAL(9,AQ9:AQ13)</f>
        <v>0</v>
      </c>
      <c r="AR14" s="1236">
        <f t="shared" si="4"/>
        <v>-0.11689814814814814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1084</v>
      </c>
      <c r="G17" s="552">
        <f>IF(ISNUMBER(IF(D_I="SI",Datos!I17,Datos!I17+Datos!AC17)),IF(D_I="SI",Datos!I17,Datos!I17+Datos!AC17)," - ")</f>
        <v>1141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604</v>
      </c>
      <c r="Z17" s="805">
        <f>IF(ISNUMBER(Datos!Q17),Datos!Q17," - ")</f>
        <v>15</v>
      </c>
      <c r="AA17" s="551">
        <f>IF(ISNUMBER(IF(D_I="SI",Datos!L17,Datos!L17+Datos!AF17)),IF(D_I="SI",Datos!L17,Datos!L17+Datos!AF17)," - ")</f>
        <v>1019</v>
      </c>
      <c r="AB17" s="549"/>
      <c r="AC17" s="549"/>
      <c r="AD17" s="563"/>
      <c r="AE17" s="563">
        <f>IF(ISNUMBER(Datos!R17),Datos!R17," - ")</f>
        <v>132</v>
      </c>
      <c r="AF17" s="693" t="str">
        <f>IF(ISNUMBER(Datos!BV17),Datos!BV17," - ")</f>
        <v xml:space="preserve"> - </v>
      </c>
      <c r="AG17" s="552"/>
      <c r="AH17" s="553"/>
      <c r="AI17" s="554"/>
      <c r="AJ17" s="552">
        <f>IF(ISNUMBER(Datos!M17),Datos!M17," - ")</f>
        <v>105</v>
      </c>
      <c r="AK17" s="693">
        <f>IF(ISNUMBER(Datos!N17),Datos!N17," - ")</f>
        <v>323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5.0612582781456954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0</v>
      </c>
      <c r="AA18" s="551">
        <f>IF(ISNUMBER(Datos!L18),Datos!L18,"-")</f>
        <v>128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7.3846153846153859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1084</v>
      </c>
      <c r="G23" s="1197">
        <f>SUBTOTAL(9,G16:G22)</f>
        <v>1281</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656</v>
      </c>
      <c r="Z23" s="1240">
        <f t="shared" si="6"/>
        <v>15</v>
      </c>
      <c r="AA23" s="1240">
        <f t="shared" si="6"/>
        <v>1147</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105</v>
      </c>
      <c r="AK23" s="1240">
        <f t="shared" si="6"/>
        <v>360</v>
      </c>
      <c r="AL23" s="1240">
        <f t="shared" si="6"/>
        <v>0</v>
      </c>
      <c r="AM23" s="1240">
        <f t="shared" si="6"/>
        <v>0</v>
      </c>
      <c r="AN23" s="1240">
        <f t="shared" si="6"/>
        <v>0</v>
      </c>
      <c r="AO23" s="1242">
        <f>IF(ISNUMBER(((NºAsuntos!I23/NºAsuntos!G23)*11)/factor_trimestre),((NºAsuntos!I23/NºAsuntos!G23)*11)/factor_trimestre," - ")</f>
        <v>5.2454268292682933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1113</v>
      </c>
      <c r="G31" s="1117">
        <f t="shared" si="12"/>
        <v>1307</v>
      </c>
      <c r="H31" s="1118">
        <f t="shared" si="12"/>
        <v>0</v>
      </c>
      <c r="I31" s="1117">
        <f t="shared" si="12"/>
        <v>0</v>
      </c>
      <c r="J31" s="1119">
        <f t="shared" si="12"/>
        <v>0</v>
      </c>
      <c r="K31" s="1117">
        <f t="shared" si="12"/>
        <v>0</v>
      </c>
      <c r="L31" s="1120">
        <f t="shared" si="12"/>
        <v>0</v>
      </c>
      <c r="M31" s="1117">
        <f t="shared" si="12"/>
        <v>0</v>
      </c>
      <c r="N31" s="1118">
        <f t="shared" si="12"/>
        <v>170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658</v>
      </c>
      <c r="Z31" s="1124">
        <f t="shared" si="13"/>
        <v>86</v>
      </c>
      <c r="AA31" s="1125">
        <f t="shared" si="13"/>
        <v>1181</v>
      </c>
      <c r="AB31" s="1125">
        <f t="shared" si="13"/>
        <v>0</v>
      </c>
      <c r="AC31" s="1125">
        <f t="shared" si="13"/>
        <v>0</v>
      </c>
      <c r="AD31" s="1126">
        <f t="shared" si="13"/>
        <v>0</v>
      </c>
      <c r="AE31" s="1126">
        <f t="shared" si="13"/>
        <v>2666</v>
      </c>
      <c r="AF31" s="1127">
        <f t="shared" si="13"/>
        <v>0</v>
      </c>
      <c r="AG31" s="1128">
        <f t="shared" si="13"/>
        <v>0</v>
      </c>
      <c r="AH31" s="1129">
        <f t="shared" si="13"/>
        <v>0</v>
      </c>
      <c r="AI31" s="1127">
        <f t="shared" si="13"/>
        <v>0</v>
      </c>
      <c r="AJ31" s="1117">
        <f t="shared" si="13"/>
        <v>213</v>
      </c>
      <c r="AK31" s="1117">
        <f t="shared" si="13"/>
        <v>549</v>
      </c>
      <c r="AL31" s="1117">
        <f t="shared" si="13"/>
        <v>0</v>
      </c>
      <c r="AM31" s="1130">
        <f t="shared" si="13"/>
        <v>0</v>
      </c>
      <c r="AN31" s="1120">
        <f>IF(ISNUMBER(Datos!K31/Datos!J31),Datos!K31/Datos!J31," - ")</f>
        <v>1.0318181818181817</v>
      </c>
      <c r="AO31" s="1120">
        <f>IF(ISNUMBER(FIND("06",Criterios!A8,1)),(IF(ISNUMBER(((Datos!R31/Datos!Q31)*11)/factor_trimestre),((Datos!R31/Datos!Q31)*11)/factor_trimestre," - ")),(IF(ISNUMBER(((Datos!L31/Datos!K31)*11)/factor_trimestre),((Datos!L31/Datos!K31)*11)/factor_trimestre," - ")))</f>
        <v>7.6704845814977975</v>
      </c>
      <c r="AP31" s="1131" t="str">
        <f>IF(ISNUMBER(Datos!CI31/Datos!CJ31),Datos!CI31/Datos!CJ31," - ")</f>
        <v xml:space="preserve"> - </v>
      </c>
      <c r="AQ31" s="1131">
        <f>IF(OR(ISNUMBER(FIND("01",Criterios!A8,1)),ISNUMBER(FIND("02",Criterios!A8,1)),ISNUMBER(FIND("03",Criterios!A8,1)),ISNUMBER(FIND("04",Criterios!A8,1))),(J31-Y31+K31)/(F31-K31),(I31-Y31+K31)/(F31-K31))</f>
        <v>-0.5911949685534591</v>
      </c>
      <c r="AR31" s="1131">
        <f>IF(ISNUMBER((Datos!P31-Datos!Q31+O31)/(Datos!R31-Datos!P31+Datos!Q31-O31)),(Datos!P31-Datos!Q31+O31)/(Datos!R31-Datos!P31+Datos!Q31-O31)," - ")</f>
        <v>3.2532920216886134E-2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552.43967996515232</v>
      </c>
      <c r="G33" s="674">
        <f>IF(ISNUMBER(STDEV(G8:G30)),STDEV(G8:G30),"-")</f>
        <v>575.56518806672602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56.403520660124954</v>
      </c>
      <c r="AK33" s="276"/>
      <c r="AL33" s="276">
        <f>IF(ISNUMBER(STDEV(AL8:AL30)),STDEV(AL8:AL30),"-")</f>
        <v>0</v>
      </c>
      <c r="AM33" s="278">
        <f>IF(ISNUMBER(STDEV(AM8:AM30)),STDEV(AM8:AM30),"-")</f>
        <v>0</v>
      </c>
      <c r="AN33" s="660">
        <f>IF(ISNUMBER(STDEV(AN8:AN30)),STDEV(AN8:AN30),"-")</f>
        <v>0</v>
      </c>
      <c r="AO33" s="661">
        <f>IF(ISNUMBER(STDEV(AO8:AO30)),STDEV(AO8:AO30),"-")</f>
        <v>17.795919392672971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DaYErVncq5MZYVQFHooZxFzX+ruxBVEa0venYtSKN8yQ5digycLyWd3sXc4t+2gDhOn1xbcLq2HqP9JznnrqQ==" saltValue="jalQD4otcfaBkkIx+VgB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A25HKK/2sFvi1msmOcQAxvAr4SgqWErT6qDmFYj4IbmtyTEVL9X2TRU5fdv+P12xDZB+gCkGrqINJO1vUYoAA==" saltValue="0VAZZcirQKfgxynvO2P0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LiUwU2jcnNLl4wE5rLS8JLT8vhC+1ssp1Wv6xzJiL8YPigrX+JGSfm5tTdhElrsBdh7GKMPhiuqq7Shk44ufg==" saltValue="HVYM4c90eviqvbLFm0FH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OLOT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0.21730382293762576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0.15365700677695601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a6V1+ZDrYnQOEzObiSaoVfADIhHQ7vncOBaKdoFp84L1NvNFVTZPFQI+nTxcr54DtfrR2kSPyOQDtkLrB0QdQ==" saltValue="nWboREFeqvEXPOCYST6r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Dw22zAQ+cGlyLIU29MfW46uZ8JH8qTS+cTSMdhavimDXSAcWWjmRb0+WolGDOEM7aI1svDMDJFivXducxmbUA==" saltValue="SN5o7EN1mdH4YxGPM7p4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OLOT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7</v>
      </c>
      <c r="F10" s="452">
        <f>IF(ISNUMBER(E10/B10),E10/B10," - ")</f>
        <v>7</v>
      </c>
      <c r="G10" s="451">
        <f>IF(ISNUMBER(Datos!K10),Datos!K10," - ")</f>
        <v>2</v>
      </c>
      <c r="H10" s="452">
        <f>IF(ISNUMBER(G10/B10),G10/B10," - ")</f>
        <v>2</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1835</v>
      </c>
      <c r="D12" s="452">
        <f>IF(ISNUMBER(C12/Datos!BH12),C12/Datos!BH12," - ")</f>
        <v>917.5</v>
      </c>
      <c r="E12" s="451">
        <f>IF(ISNUMBER(IF(J_V="SI",Datos!J12,Datos!J12+Datos!Z12)),IF(J_V="SI",Datos!J12,Datos!J12+Datos!Z12)," - ")</f>
        <v>547</v>
      </c>
      <c r="F12" s="452">
        <f>IF(ISNUMBER(E12/B12),E12/B12," - ")</f>
        <v>273.5</v>
      </c>
      <c r="G12" s="451">
        <f>IF(ISNUMBER(IF(J_V="SI",Datos!K12,Datos!K12+Datos!AA12)),IF(J_V="SI",Datos!K12,Datos!K12+Datos!AA12)," - ")</f>
        <v>495</v>
      </c>
      <c r="H12" s="452">
        <f>IF(ISNUMBER(G12/B12),G12/B12," - ")</f>
        <v>247.5</v>
      </c>
      <c r="I12" s="451">
        <f>IF(ISNUMBER(IF(J_V="SI",Datos!L12,Datos!L12+Datos!AB12)),IF(J_V="SI",Datos!L12,Datos!L12+Datos!AB12)," - ")</f>
        <v>1766</v>
      </c>
      <c r="J12" s="452">
        <f>IF(ISNUMBER(I12/B12),I12/B12," - ")</f>
        <v>883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1861</v>
      </c>
      <c r="D14" s="1147" t="str">
        <f>IF(ISNUMBER(C14/Datos!BI14),C14/Datos!BI14," - ")</f>
        <v xml:space="preserve"> - </v>
      </c>
      <c r="E14" s="1146">
        <f>SUBTOTAL(9,E8:E13)</f>
        <v>554</v>
      </c>
      <c r="F14" s="1147">
        <f>IF(ISNUMBER(E14/B14),E14/B14," - ")</f>
        <v>277</v>
      </c>
      <c r="G14" s="1146">
        <f>SUBTOTAL(9,G8:G13)</f>
        <v>497</v>
      </c>
      <c r="H14" s="1147">
        <f>IF(ISNUMBER(G14/B14),G14/B14," - ")</f>
        <v>248.5</v>
      </c>
      <c r="I14" s="1146">
        <f>SUBTOTAL(9,I8:I13)</f>
        <v>1800</v>
      </c>
      <c r="J14" s="1147">
        <f>IF(ISNUMBER(I14/B14),I14/B14," - ")</f>
        <v>900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1141</v>
      </c>
      <c r="D17" s="452">
        <f>IF(ISNUMBER(C17/Datos!BH17),C17/Datos!BH17," - ")</f>
        <v>570.5</v>
      </c>
      <c r="E17" s="451">
        <f>IF(ISNUMBER(IF(D_I="SI",Datos!J17,Datos!J17+Datos!AD17)),IF(D_I="SI",Datos!J17,Datos!J17+Datos!AD17)," - ")</f>
        <v>539</v>
      </c>
      <c r="F17" s="452">
        <f>IF(ISNUMBER(E17/B17),E17/B17," - ")</f>
        <v>269.5</v>
      </c>
      <c r="G17" s="451">
        <f>IF(ISNUMBER(IF(D_I="SI",Datos!K17,Datos!K17+Datos!AE17)),IF(D_I="SI",Datos!K17,Datos!K17+Datos!AE17)," - ")</f>
        <v>604</v>
      </c>
      <c r="H17" s="452">
        <f>IF(ISNUMBER(G17/B17),G17/B17," - ")</f>
        <v>302</v>
      </c>
      <c r="I17" s="451">
        <f>IF(ISNUMBER(IF(D_I="SI",Datos!L17,Datos!L17+Datos!AF17)),IF(D_I="SI",Datos!L17,Datos!L17+Datos!AF17)," - ")</f>
        <v>1019</v>
      </c>
      <c r="J17" s="452">
        <f>IF(ISNUMBER(I17/B17),I17/B17," - ")</f>
        <v>509.5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140</v>
      </c>
      <c r="D18" s="452">
        <f>IF(ISNUMBER(C18/Datos!BH18),C18/Datos!BH18," - ")</f>
        <v>140</v>
      </c>
      <c r="E18" s="451">
        <f>IF(ISNUMBER(IF(D_I="SI",Datos!J18,Datos!J18+Datos!AD18)),IF(D_I="SI",Datos!J18,Datos!J18+Datos!AD18)," - ")</f>
        <v>40</v>
      </c>
      <c r="F18" s="452">
        <f>IF(ISNUMBER(E18/B18),E18/B18," - ")</f>
        <v>40</v>
      </c>
      <c r="G18" s="451">
        <f>IF(ISNUMBER(IF(D_I="SI",Datos!K18,Datos!K18+Datos!AE18)),IF(D_I="SI",Datos!K18,Datos!K18+Datos!AE18)," - ")</f>
        <v>52</v>
      </c>
      <c r="H18" s="452">
        <f>IF(ISNUMBER(G18/B18),G18/B18," - ")</f>
        <v>52</v>
      </c>
      <c r="I18" s="451">
        <f>IF(ISNUMBER(IF(D_I="SI",Datos!L18,Datos!L18+Datos!AF18)),IF(D_I="SI",Datos!L18,Datos!L18+Datos!AF18)," - ")</f>
        <v>128</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1281</v>
      </c>
      <c r="D23" s="1147" t="str">
        <f>IF(ISNUMBER(C23/Datos!BI23),C23/Datos!BI23," - ")</f>
        <v xml:space="preserve"> - </v>
      </c>
      <c r="E23" s="1146">
        <f>SUBTOTAL(9,E15:E22)</f>
        <v>579</v>
      </c>
      <c r="F23" s="1147">
        <f>IF(ISNUMBER(E23/B23),E23/B23," - ")</f>
        <v>289.5</v>
      </c>
      <c r="G23" s="1146">
        <f>SUBTOTAL(9,G15:G22)</f>
        <v>656</v>
      </c>
      <c r="H23" s="1147">
        <f>IF(ISNUMBER(G23/B23),G23/B23," - ")</f>
        <v>328</v>
      </c>
      <c r="I23" s="1146">
        <f>SUBTOTAL(9,I15:I22)</f>
        <v>1147</v>
      </c>
      <c r="J23" s="1147">
        <f>IF(ISNUMBER(I23/B23),I23/B23," - ")</f>
        <v>573.5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3142</v>
      </c>
      <c r="D31" s="1085" t="str">
        <f>IF(ISNUMBER(C31/Datos!BI31),C31/Datos!BI31," - ")</f>
        <v xml:space="preserve"> - </v>
      </c>
      <c r="E31" s="1084">
        <f>SUBTOTAL(9,E9:E30)</f>
        <v>1133</v>
      </c>
      <c r="F31" s="1085">
        <f>IF(ISNUMBER(E31/B31),E31/B31," - ")</f>
        <v>566.5</v>
      </c>
      <c r="G31" s="1084">
        <f>SUBTOTAL(9,G9:G30)</f>
        <v>1153</v>
      </c>
      <c r="H31" s="1085">
        <f>IF(ISNUMBER(G31/B31),G31/B31," - ")</f>
        <v>576.5</v>
      </c>
      <c r="I31" s="1084">
        <f>SUBTOTAL(9,I9:I30)</f>
        <v>2947</v>
      </c>
      <c r="J31" s="1085">
        <f>IF(ISNUMBER(I31/B31),I31/B31," - ")</f>
        <v>1473.5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wPYURgf3YMYYtK0Kcga/37ptD8VQJJhcR6rE1HnFL6uwY4GR/f7lmr3h5wrpN4/64+NXr0Lh3aIPi6+UQ2chg==" saltValue="gXhgA1OK37eg43Fn34sS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OLOT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188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10.703030303030303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29</v>
      </c>
      <c r="G14" s="1256">
        <f t="shared" si="0"/>
        <v>26</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65</v>
      </c>
      <c r="AE14" s="1257">
        <f t="shared" si="1"/>
        <v>0</v>
      </c>
      <c r="AF14" s="1257">
        <f t="shared" si="1"/>
        <v>34</v>
      </c>
      <c r="AG14" s="1257">
        <f t="shared" si="1"/>
        <v>0</v>
      </c>
      <c r="AH14" s="1257">
        <f t="shared" si="1"/>
        <v>2508</v>
      </c>
      <c r="AI14" s="1257">
        <f t="shared" si="1"/>
        <v>0</v>
      </c>
      <c r="AJ14" s="1257">
        <f t="shared" si="1"/>
        <v>0</v>
      </c>
      <c r="AK14" s="1257">
        <f t="shared" si="1"/>
        <v>0</v>
      </c>
      <c r="AL14" s="1257">
        <f t="shared" si="1"/>
        <v>108</v>
      </c>
      <c r="AM14" s="1257">
        <f t="shared" si="1"/>
        <v>189</v>
      </c>
      <c r="AN14" s="1257">
        <f t="shared" si="1"/>
        <v>0</v>
      </c>
      <c r="AO14" s="1257">
        <f t="shared" si="1"/>
        <v>0</v>
      </c>
      <c r="AP14" s="1262">
        <f>IF(ISNUMBER(((Datos!L14/Datos!K14)*11)/factor_trimestre),((Datos!L14/Datos!K14)*11)/factor_trimestre," - ")</f>
        <v>10.991649269311067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-6.8965517241379309E-2</v>
      </c>
      <c r="AU14" s="1257" t="str">
        <f>IF(ISNUMBER((DatosP!#REF!-DatosP!#REF!+DatosP!#REF!)/(DatosP!#REF!+DatosP!#REF!-DatosP!#REF!-DatosP!#REF!)),(DatosP!#REF!-DatosP!#REF!+DatosP!#REF!)/(DatosP!#REF!+DatosP!#REF!-DatosP!#REF!-DatosP!#REF!)," - ")</f>
        <v xml:space="preserve"> - </v>
      </c>
      <c r="AV14" s="1263">
        <f>SUBTOTAL(9,AV9:AV13)</f>
        <v>3.125E-2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5.2454268292682933</v>
      </c>
      <c r="AQ23" s="1262">
        <f>IF(ISNUMBER(((Datos!M23/Datos!L23)*11)/factor_trimestre),((Datos!M23/Datos!L23)*11)/factor_trimestre," - ")</f>
        <v>0.27462946817785527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9.7560975609756101E-2</v>
      </c>
      <c r="AW23" s="1265">
        <f>IF(ISNUMBER((Datos!Q23-Datos!R23)/(Datos!S23-Datos!Q23+Datos!R23)),(Datos!Q23-Datos!R23)/(Datos!S23-Datos!Q23+Datos!R23)," - ")</f>
        <v>-0.10273972602739725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29</v>
      </c>
      <c r="G31" s="1278">
        <f t="shared" si="8"/>
        <v>26</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65</v>
      </c>
      <c r="AE31" s="1284">
        <f t="shared" si="9"/>
        <v>0</v>
      </c>
      <c r="AF31" s="1285">
        <f t="shared" si="9"/>
        <v>34</v>
      </c>
      <c r="AG31" s="1285">
        <f t="shared" si="9"/>
        <v>0</v>
      </c>
      <c r="AH31" s="1285">
        <f t="shared" si="9"/>
        <v>2508</v>
      </c>
      <c r="AI31" s="1285">
        <f t="shared" si="9"/>
        <v>0</v>
      </c>
      <c r="AJ31" s="1286">
        <f t="shared" si="9"/>
        <v>0</v>
      </c>
      <c r="AK31" s="1286">
        <f t="shared" si="9"/>
        <v>0</v>
      </c>
      <c r="AL31" s="1278">
        <f t="shared" si="9"/>
        <v>108</v>
      </c>
      <c r="AM31" s="1278">
        <f t="shared" si="9"/>
        <v>189</v>
      </c>
      <c r="AN31" s="1278">
        <f t="shared" si="9"/>
        <v>0</v>
      </c>
      <c r="AO31" s="1278">
        <f t="shared" si="9"/>
        <v>0</v>
      </c>
      <c r="AP31" s="1278">
        <f>IF(ISNUMBER(((Datos!L31/Datos!K31)*11)/factor_trimestre),((Datos!L31/Datos!K31)*11)/factor_trimestre," - ")</f>
        <v>7.6704845814977975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-6.8965517241379309E-2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3.2532920216886134E-2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15.883954167649817</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55.005454275008034</v>
      </c>
      <c r="AM33" s="1006"/>
      <c r="AN33" s="1006">
        <f>IF(ISNUMBER(STDEV(AN8:AN30)),STDEV(AN8:AN30),"-")</f>
        <v>0</v>
      </c>
      <c r="AO33" s="1012">
        <f>IF(ISNUMBER(STDEV(AO8:AO30)),STDEV(AO8:AO30),"-")</f>
        <v>0</v>
      </c>
      <c r="AP33" s="1065">
        <f>IF(ISNUMBER(STDEV(AP8:AP30)),STDEV(AP8:AP30),"-")</f>
        <v>21.175620159944788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F4bMXAuTt1zNG3D5Mx9kGsG1kfrB5gd7SrJp3KwWdYmCL3RcHnP6s06uhnkXVrWykoGr2KaM+oU8nncQlScoQ==" saltValue="f0uviu7jU3Xylz2K69ZE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OLOT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PLftH/seXCEIaxelkCiWg0YGu7L7uBTkvPE0M8G9W300FyrsCntdYJbKAHNKGVrl+JZLjIH5mhSP4lqSCD/5Q==" saltValue="w5W6+Ng8LPJ6MbIrJF9L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OLOT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106</v>
      </c>
      <c r="E12" s="452">
        <f t="shared" si="0"/>
        <v>53</v>
      </c>
      <c r="F12" s="451">
        <f>IF(ISNUMBER(Datos!N12),Datos!N12," - ")</f>
        <v>188</v>
      </c>
      <c r="G12" s="452">
        <f t="shared" si="1"/>
        <v>94</v>
      </c>
      <c r="H12" s="451">
        <f>IF(ISNUMBER(Datos!O12),Datos!O12," - ")</f>
        <v>235</v>
      </c>
      <c r="I12" s="452">
        <f t="shared" si="2"/>
        <v>117.5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108</v>
      </c>
      <c r="E14" s="1147">
        <f t="shared" si="0"/>
        <v>36</v>
      </c>
      <c r="F14" s="1146">
        <f>SUBTOTAL(9,F9:F13)</f>
        <v>189</v>
      </c>
      <c r="G14" s="1147">
        <f t="shared" si="1"/>
        <v>63</v>
      </c>
      <c r="H14" s="1146">
        <f>SUBTOTAL(9,H9:H13)</f>
        <v>235</v>
      </c>
      <c r="I14" s="1147">
        <f>IF(ISNUMBER(H14/B14),H14/B14," - ")</f>
        <v>78.333333333333329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105</v>
      </c>
      <c r="E17" s="452">
        <f t="shared" si="3"/>
        <v>52.5</v>
      </c>
      <c r="F17" s="451">
        <f>IF(ISNUMBER(Datos!N17),Datos!N17," - ")</f>
        <v>323</v>
      </c>
      <c r="G17" s="452">
        <f t="shared" si="4"/>
        <v>161.5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105</v>
      </c>
      <c r="E23" s="1147">
        <f t="shared" si="3"/>
        <v>35</v>
      </c>
      <c r="F23" s="1146">
        <f>SUBTOTAL(9,F16:F22)</f>
        <v>360</v>
      </c>
      <c r="G23" s="1147">
        <f t="shared" si="4"/>
        <v>120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213</v>
      </c>
      <c r="E31" s="1085">
        <f>IF(ISNUMBER(D31/B31),D31/B31," - ")</f>
        <v>106.5</v>
      </c>
      <c r="F31" s="1084">
        <f>SUBTOTAL(9,F8:F30)</f>
        <v>549</v>
      </c>
      <c r="G31" s="1085">
        <f>IF(ISNUMBER(F31/B31),F31/B31," - ")</f>
        <v>274.5</v>
      </c>
      <c r="H31" s="1084">
        <f>SUBTOTAL(9,H8:H30)</f>
        <v>235</v>
      </c>
      <c r="I31" s="1085">
        <f>IF(ISNUMBER(H31/B31),H31/B31," - ")</f>
        <v>117.5</v>
      </c>
    </row>
    <row r="34" spans="1:1">
      <c r="A34" s="439" t="str">
        <f>Criterios!A4</f>
        <v>Fecha Informe: 06 may. 2023</v>
      </c>
    </row>
    <row r="39" spans="1:1">
      <c r="A39" s="462"/>
    </row>
  </sheetData>
  <sheetProtection algorithmName="SHA-512" hashValue="9hCXzZ0qyL9NEMw4gtBST+0eADLl73jsqGBZtz99rFvTrdrpiauNHHLhDmlaiCz0vRzg9+dlaH6qiE7PFFVSQg==" saltValue="ahvHjtFW5LYAKPBXmN3j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OLOT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6</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141</v>
      </c>
      <c r="C12" s="489">
        <f>IF(ISNUMBER(Datos!Q12),Datos!Q12," - ")</f>
        <v>65</v>
      </c>
      <c r="D12" s="456">
        <f>IF(ISNUMBER(Datos!R12),Datos!R12," - ")</f>
        <v>2508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71</v>
      </c>
      <c r="D14" s="1148">
        <f>SUBTOTAL(9,D9:D13)</f>
        <v>2531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15</v>
      </c>
      <c r="D17" s="456">
        <f>IF(ISNUMBER(Datos!R17),Datos!R17," - ")</f>
        <v>132</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15</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170</v>
      </c>
      <c r="C31" s="1089">
        <f>SUBTOTAL(9,C8:C30)</f>
        <v>86</v>
      </c>
      <c r="D31" s="1090">
        <f>SUBTOTAL(9,D8:D30)</f>
        <v>2666</v>
      </c>
    </row>
    <row r="32" spans="1:4" ht="7.5" customHeight="1"/>
    <row r="33" spans="1:1" ht="6" customHeight="1"/>
    <row r="34" spans="1:1">
      <c r="A34" s="439" t="str">
        <f>Criterios!A4</f>
        <v>Fecha Informe: 06 may. 2023</v>
      </c>
    </row>
    <row r="39" spans="1:1">
      <c r="A39" s="462"/>
    </row>
  </sheetData>
  <sheetProtection algorithmName="SHA-512" hashValue="MjxxVJZ9Vb+2N0LqOEEcPYs6g2vcochd5XBNHncZXJ0p2y1E8zoxIDcGK2o46K4Jd9Fk34/we9O8K+Oa7hxS4Q==" saltValue="wJOPriA127LQbIu+yoJU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OLOT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0.04</v>
      </c>
      <c r="C10" s="515">
        <f>IF(ISNUMBER((Datos!J10-Datos!T10)/Datos!T10),(Datos!J10-Datos!T10)/Datos!T10," - ")</f>
        <v>0.75</v>
      </c>
      <c r="D10" s="515">
        <f>IF(ISNUMBER((Datos!K10-Datos!U10)/Datos!U10),(Datos!K10-Datos!U10)/Datos!U10," - ")</f>
        <v>-0.7142857142857143</v>
      </c>
      <c r="E10" s="515">
        <f>IF(ISNUMBER((Datos!L10-Datos!V10)/Datos!V10),(Datos!L10-Datos!V10)/Datos!V10," - ")</f>
        <v>0.41666666666666669</v>
      </c>
      <c r="F10" s="515">
        <f>IF(ISNUMBER((Datos!M10-Datos!W10)/Datos!W10),(Datos!M10-Datos!W10)/Datos!W10," - ")</f>
        <v>0</v>
      </c>
      <c r="G10" s="516">
        <f>IF(ISNUMBER((Datos!N10-Datos!X10)/Datos!X10),(Datos!N10-Datos!X10)/Datos!X10," - ")</f>
        <v>-0.8</v>
      </c>
      <c r="H10" s="514">
        <f>IF(ISNUMBER(((NºAsuntos!G10/NºAsuntos!E10)-Datos!BD10)/Datos!BD10),((NºAsuntos!G10/NºAsuntos!E10)-Datos!BD10)/Datos!BD10," - ")</f>
        <v>-0.83673469387755106</v>
      </c>
      <c r="I10" s="515">
        <f>IF(ISNUMBER(((NºAsuntos!I10/NºAsuntos!G10)-Datos!BE10)/Datos!BE10),((NºAsuntos!I10/NºAsuntos!G10)-Datos!BE10)/Datos!BE10," - ")</f>
        <v>3.9583333333333335</v>
      </c>
      <c r="J10" s="521">
        <f>IF(ISNUMBER((('Resol  Asuntos'!D10/NºAsuntos!G10)-Datos!BF10)/Datos!BF10),(('Resol  Asuntos'!D10/NºAsuntos!G10)-Datos!BF10)/Datos!BF10," - ")</f>
        <v>2.5</v>
      </c>
      <c r="K10" s="522">
        <f>IF(ISNUMBER((((NºAsuntos!C10+NºAsuntos!E10)/NºAsuntos!G10)-Datos!BG10)/Datos!BG10),(((NºAsuntos!C10+NºAsuntos!E10)/NºAsuntos!G10)-Datos!BG10)/Datos!BG10," - ")</f>
        <v>2.9827586206896548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8.0047086521483221E-2</v>
      </c>
      <c r="C12" s="515">
        <f>IF(ISNUMBER(
   IF(J_V="SI",(Datos!J12-Datos!T12)/Datos!T12,(Datos!J12+Datos!Z12-(Datos!T12+Datos!AH12))/(Datos!T12+Datos!AH12))
     ),IF(J_V="SI",(Datos!J12-Datos!T12)/Datos!T12,(Datos!J12+Datos!Z12-(Datos!T12+Datos!AH12))/(Datos!T12+Datos!AH12))," - ")</f>
        <v>0.20750551876379691</v>
      </c>
      <c r="D12" s="515">
        <f>IF(ISNUMBER(
   IF(J_V="SI",(Datos!K12-Datos!U12)/Datos!U12,(Datos!K12+Datos!AA12-(Datos!U12+Datos!AI12))/(Datos!U12+Datos!AI12))
     ),IF(J_V="SI",(Datos!K12-Datos!U12)/Datos!U12,(Datos!K12+Datos!AA12-(Datos!U12+Datos!AI12))/(Datos!U12+Datos!AI12))," - ")</f>
        <v>0.51840490797546013</v>
      </c>
      <c r="E12" s="515">
        <f>IF(ISNUMBER(
   IF(J_V="SI",(Datos!L12-Datos!V12)/Datos!V12,(Datos!L12+Datos!AB12-(Datos!V12+Datos!AJ12))/(Datos!V12+Datos!AJ12))
     ),IF(J_V="SI",(Datos!L12-Datos!V12)/Datos!V12,(Datos!L12+Datos!AB12-(Datos!V12+Datos!AJ12))/(Datos!V12+Datos!AJ12))," - ")</f>
        <v>-3.3916849015317288E-2</v>
      </c>
      <c r="F12" s="515">
        <f>IF(ISNUMBER((Datos!M12-Datos!W12)/Datos!W12),(Datos!M12-Datos!W12)/Datos!W12," - ")</f>
        <v>1.5238095238095237</v>
      </c>
      <c r="G12" s="516">
        <f>IF(ISNUMBER((Datos!N12-Datos!X12)/Datos!X12),(Datos!N12-Datos!X12)/Datos!X12," - ")</f>
        <v>0.34285714285714286</v>
      </c>
      <c r="H12" s="514">
        <f>IF(ISNUMBER(((NºAsuntos!G12/NºAsuntos!E12)-Datos!BD12)/Datos!BD12),((NºAsuntos!G12/NºAsuntos!E12)-Datos!BD12)/Datos!BD12," - ")</f>
        <v>0.25747243750070098</v>
      </c>
      <c r="I12" s="515">
        <f>IF(ISNUMBER(((NºAsuntos!I12/NºAsuntos!G12)-Datos!BE12)/Datos!BE12),((NºAsuntos!I12/NºAsuntos!G12)-Datos!BE12)/Datos!BE12," - ")</f>
        <v>-0.36375129854342103</v>
      </c>
      <c r="J12" s="521">
        <f>IF(ISNUMBER((('Resol  Asuntos'!D12/NºAsuntos!G12)-Datos!BF12)/Datos!BF12),(('Resol  Asuntos'!D12/NºAsuntos!G12)-Datos!BF12)/Datos!BF12," - ")</f>
        <v>-0.50135642135642144</v>
      </c>
      <c r="K12" s="522">
        <f>IF(ISNUMBER((((NºAsuntos!C12+NºAsuntos!E12)/NºAsuntos!G12)-Datos!BG12)/Datos!BG12),(((NºAsuntos!C12+NºAsuntos!E12)/NºAsuntos!G12)-Datos!BG12)/Datos!BG12," - ")</f>
        <v>-0.27102624760617322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7.9466357308584687E-2</v>
      </c>
      <c r="C14" s="1152">
        <f>IF(ISNUMBER(
   IF(J_V="SI",(Datos!J14-Datos!T14)/Datos!T14,(Datos!J14+Datos!Z14-(Datos!T14+Datos!AH14))/(Datos!T14+Datos!AH14))
     ),IF(J_V="SI",(Datos!J14-Datos!T14)/Datos!T14,(Datos!J14+Datos!Z14-(Datos!T14+Datos!AH14))/(Datos!T14+Datos!AH14))," - ")</f>
        <v>0.21225382932166301</v>
      </c>
      <c r="D14" s="1152">
        <f>IF(ISNUMBER(
   IF(J_V="SI",(Datos!K14-Datos!U14)/Datos!U14,(Datos!K14+Datos!AA14-(Datos!U14+Datos!AI14))/(Datos!U14+Datos!AI14))
     ),IF(J_V="SI",(Datos!K14-Datos!U14)/Datos!U14,(Datos!K14+Datos!AA14-(Datos!U14+Datos!AI14))/(Datos!U14+Datos!AI14))," - ")</f>
        <v>0.4924924924924925</v>
      </c>
      <c r="E14" s="1152">
        <f>IF(ISNUMBER(
   IF(J_V="SI",(Datos!L14-Datos!V14)/Datos!V14,(Datos!L14+Datos!AB14-(Datos!V14+Datos!AJ14))/(Datos!V14+Datos!AJ14))
     ),IF(J_V="SI",(Datos!L14-Datos!V14)/Datos!V14,(Datos!L14+Datos!AB14-(Datos!V14+Datos!AJ14))/(Datos!V14+Datos!AJ14))," - ")</f>
        <v>-2.8077753779697623E-2</v>
      </c>
      <c r="F14" s="1153">
        <f>IF(ISNUMBER((Datos!M14-Datos!W14)/Datos!W14),(Datos!M14-Datos!W14)/Datos!W14," - ")</f>
        <v>1.4545454545454546</v>
      </c>
      <c r="G14" s="1154">
        <f>IF(ISNUMBER((Datos!N14-Datos!X14)/Datos!X14),(Datos!N14-Datos!X14)/Datos!X14," - ")</f>
        <v>0.30344827586206896</v>
      </c>
      <c r="H14" s="1154">
        <f>IF(ISNUMBER(((NºAsuntos!G14/NºAsuntos!E14)-Datos!BD14)/Datos!BD14),((NºAsuntos!G14/NºAsuntos!E14)-Datos!BD14)/Datos!BD14," - ")</f>
        <v>0.23117160481781421</v>
      </c>
      <c r="I14" s="1154">
        <f>IF(ISNUMBER(((NºAsuntos!I14/NºAsuntos!G14)-Datos!BE14)/Datos!BE14),((NºAsuntos!I14/NºAsuntos!G14)-Datos!BE14)/Datos!BE14," - ")</f>
        <v>-0.34879253925279541</v>
      </c>
      <c r="J14" s="1154">
        <f>IF(ISNUMBER((('Resol  Asuntos'!D14/NºAsuntos!G14)-Datos!BF14)/Datos!BF14),(('Resol  Asuntos'!D14/NºAsuntos!G14)-Datos!BF14)/Datos!BF14," - ")</f>
        <v>-0.4904072321251452</v>
      </c>
      <c r="K14" s="1154">
        <f>IF(ISNUMBER((((NºAsuntos!C14+NºAsuntos!E14)/NºAsuntos!G14)-Datos!BG14)/Datos!BG14),(((NºAsuntos!C14+NºAsuntos!E14)/NºAsuntos!G14)-Datos!BG14)/Datos!BG14," - ")</f>
        <v>-0.25809326384718212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0.21512247071352503</v>
      </c>
      <c r="C17" s="515">
        <f>IF(ISNUMBER(
   IF(D_I="SI",(Datos!J17-Datos!T17)/Datos!T17,(Datos!J17+Datos!AD17-(Datos!T17+Datos!AL17))/(Datos!T17+Datos!AL17))
     ),IF(D_I="SI",(Datos!J17-Datos!T17)/Datos!T17,(Datos!J17+Datos!AD17-(Datos!T17+Datos!AL17))/(Datos!T17+Datos!AL17))," - ")</f>
        <v>-1.6423357664233577E-2</v>
      </c>
      <c r="D17" s="515">
        <f>IF(ISNUMBER(
   IF(D_I="SI",(Datos!K17-Datos!U17)/Datos!U17,(Datos!K17+Datos!AE17-(Datos!U17+Datos!AM17))/(Datos!U17+Datos!AM17))
     ),IF(D_I="SI",(Datos!K17-Datos!U17)/Datos!U17,(Datos!K17+Datos!AE17-(Datos!U17+Datos!AM17))/(Datos!U17+Datos!AM17))," - ")</f>
        <v>0.21774193548387097</v>
      </c>
      <c r="E17" s="515">
        <f>IF(ISNUMBER(
   IF(D_I="SI",(Datos!L17-Datos!V17)/Datos!V17,(Datos!L17+Datos!AF17-(Datos!V17+Datos!AN17))/(Datos!V17+Datos!AN17))
     ),IF(D_I="SI",(Datos!L17-Datos!V17)/Datos!V17,(Datos!L17+Datos!AF17-(Datos!V17+Datos!AN17))/(Datos!V17+Datos!AN17))," - ")</f>
        <v>1.1916583912611719E-2</v>
      </c>
      <c r="F17" s="515">
        <f>IF(ISNUMBER((Datos!M17-Datos!W17)/Datos!W17),(Datos!M17-Datos!W17)/Datos!W17," - ")</f>
        <v>0.38157894736842107</v>
      </c>
      <c r="G17" s="516">
        <f>IF(ISNUMBER((Datos!N17-Datos!X17)/Datos!X17),(Datos!N17-Datos!X17)/Datos!X17," - ")</f>
        <v>0.11764705882352941</v>
      </c>
      <c r="H17" s="514">
        <f>IF(ISNUMBER(((NºAsuntos!G17/NºAsuntos!E17)-Datos!BD17)/Datos!BD17),((NºAsuntos!G17/NºAsuntos!E17)-Datos!BD17)/Datos!BD17," - ")</f>
        <v>0.238075288766533</v>
      </c>
      <c r="I17" s="515">
        <f>IF(ISNUMBER(((NºAsuntos!I17/NºAsuntos!G17)-Datos!BE17)/Datos!BE17),((NºAsuntos!I17/NºAsuntos!G17)-Datos!BE17)/Datos!BE17," - ")</f>
        <v>-0.16902214301215993</v>
      </c>
      <c r="J17" s="521">
        <f>IF(ISNUMBER((('Resol  Asuntos'!D17/NºAsuntos!G17)-Datos!BF17)/Datos!BF17),(('Resol  Asuntos'!D17/NºAsuntos!G17)-Datos!BF17)/Datos!BF17," - ")</f>
        <v>0.13454165214360403</v>
      </c>
      <c r="K17" s="522">
        <f>IF(ISNUMBER((((NºAsuntos!C17+NºAsuntos!E17)/NºAsuntos!G17)-Datos!BG17)/Datos!BG17),(((NºAsuntos!C17+NºAsuntos!E17)/NºAsuntos!G17)-Datos!BG17)/Datos!BG17," - ")</f>
        <v>-7.2224176861719919E-2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0.28440366972477066</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-0.24637681159420291</v>
      </c>
      <c r="E18" s="515">
        <f>IF(ISNUMBER(
   IF(D_I="SI",(Datos!L18-Datos!V18)/Datos!V18,(Datos!L18+Datos!AF18-(Datos!V18+Datos!AN18))/(Datos!V18+Datos!AN18))
     ),IF(D_I="SI",(Datos!L18-Datos!V18)/Datos!V18,(Datos!L18+Datos!AF18-(Datos!V18+Datos!AN18))/(Datos!V18+Datos!AN18))," - ")</f>
        <v>0.1743119266055046</v>
      </c>
      <c r="F18" s="515">
        <f>IF(ISNUMBER((Datos!M18-Datos!W18)/Datos!W18),(Datos!M18-Datos!W18)/Datos!W18," - ")</f>
        <v>-1</v>
      </c>
      <c r="G18" s="516">
        <f>IF(ISNUMBER((Datos!N18-Datos!X18)/Datos!X18),(Datos!N18-Datos!X18)/Datos!X18," - ")</f>
        <v>-0.22916666666666666</v>
      </c>
      <c r="H18" s="514">
        <f>IF(ISNUMBER(((NºAsuntos!G18/NºAsuntos!E18)-Datos!BD18)/Datos!BD18),((NºAsuntos!G18/NºAsuntos!E18)-Datos!BD18)/Datos!BD18," - ")</f>
        <v>0.22463768115942032</v>
      </c>
      <c r="I18" s="515">
        <f>IF(ISNUMBER(((NºAsuntos!I18/NºAsuntos!G18)-Datos!BE18)/Datos!BE18),((NºAsuntos!I18/NºAsuntos!G18)-Datos!BE18)/Datos!BE18," - ")</f>
        <v>0.55822159491884282</v>
      </c>
      <c r="J18" s="521">
        <f>IF(ISNUMBER((('Resol  Asuntos'!D18/NºAsuntos!G18)-Datos!BF18)/Datos!BF18),(('Resol  Asuntos'!D18/NºAsuntos!G18)-Datos!BF18)/Datos!BF18," - ")</f>
        <v>-1</v>
      </c>
      <c r="K18" s="522">
        <f>IF(ISNUMBER((((NºAsuntos!C18+NºAsuntos!E18)/NºAsuntos!G18)-Datos!BG18)/Datos!BG18),(((NºAsuntos!C18+NºAsuntos!E18)/NºAsuntos!G18)-Datos!BG18)/Datos!BG18," - ")</f>
        <v>0.37267904509283822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0.22232824427480916</v>
      </c>
      <c r="C23" s="1152">
        <f>IF(ISNUMBER(
   IF(Criterios!B14="SI",(Datos!J23-Datos!T23)/Datos!T23,(Datos!J23+Datos!AD23-(Datos!T23+Datos!AL23))/(Datos!T23+Datos!AL23))
     ),IF(Criterios!B14="SI",(Datos!J23-Datos!T23)/Datos!T23,(Datos!J23+Datos!AD23-(Datos!T23+Datos!AL23))/(Datos!T23+Datos!AL23))," - ")</f>
        <v>-5.5464926590538338E-2</v>
      </c>
      <c r="D23" s="1152">
        <f>IF(ISNUMBER(
   IF(Criterios!B14="SI",(Datos!K23-Datos!U23)/Datos!U23,(Datos!K23+Datos!AE23-(Datos!U23+Datos!AM23))/(Datos!U23+Datos!AM23))
     ),IF(Criterios!B14="SI",(Datos!K23-Datos!U23)/Datos!U23,(Datos!K23+Datos!AE23-(Datos!U23+Datos!AM23))/(Datos!U23+Datos!AM23))," - ")</f>
        <v>0.16106194690265488</v>
      </c>
      <c r="E23" s="1152">
        <f>IF(ISNUMBER(
   IF(Criterios!B14="SI",(Datos!L23-Datos!V23)/Datos!V23,(Datos!L23+Datos!AF23-(Datos!V23+Datos!AN23))/(Datos!V23+Datos!AN23))
     ),IF(Criterios!B14="SI",(Datos!L23-Datos!V23)/Datos!V23,(Datos!L23+Datos!AF23-(Datos!V23+Datos!AN23))/(Datos!V23+Datos!AN23))," - ")</f>
        <v>2.7777777777777776E-2</v>
      </c>
      <c r="F23" s="1153">
        <f>IF(ISNUMBER((Datos!M23-Datos!W23)/Datos!W23),(Datos!M23-Datos!W23)/Datos!W23," - ")</f>
        <v>0.32911392405063289</v>
      </c>
      <c r="G23" s="1154">
        <f>IF(ISNUMBER((Datos!N23-Datos!X23)/Datos!X23),(Datos!N23-Datos!X23)/Datos!X23," - ")</f>
        <v>6.8249258160237386E-2</v>
      </c>
      <c r="H23" s="1154">
        <f>IF(ISNUMBER(((NºAsuntos!G23/NºAsuntos!E23)-Datos!BD23)/Datos!BD23),((NºAsuntos!G23/NºAsuntos!E23)-Datos!BD23)/Datos!BD23," - ")</f>
        <v>0.22924175034771579</v>
      </c>
      <c r="I23" s="1154">
        <f>IF(ISNUMBER(((NºAsuntos!I23/NºAsuntos!G23)-Datos!BE23)/Datos!BE23),((NºAsuntos!I23/NºAsuntos!G23)-Datos!BE23)/Datos!BE23," - ")</f>
        <v>-0.11479505420054194</v>
      </c>
      <c r="J23" s="1154">
        <f>IF(ISNUMBER((('Resol  Asuntos'!D23/NºAsuntos!G23)-Datos!BF23)/Datos!BF23),(('Resol  Asuntos'!D23/NºAsuntos!G23)-Datos!BF23)/Datos!BF23," - ")</f>
        <v>0.14473988885458466</v>
      </c>
      <c r="K23" s="1154">
        <f>IF(ISNUMBER((((NºAsuntos!C23+NºAsuntos!E23)/NºAsuntos!G23)-Datos!BG23)/Datos!BG23),(((NºAsuntos!C23+NºAsuntos!E23)/NºAsuntos!G23)-Datos!BG23)/Datos!BG23," - ")</f>
        <v>-3.5531783674248543E-2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0.13347763347763347</v>
      </c>
      <c r="C31" s="1092">
        <f>IF(ISNUMBER(
   IF(J_V="SI",(Datos!J31-Datos!T31)/Datos!T31,(Datos!J31+Datos!Z31-(Datos!T31+Datos!AH31))/(Datos!T31+Datos!AH31))
     ),IF(J_V="SI",(Datos!J31-Datos!T31)/Datos!T31,(Datos!J31+Datos!Z31-(Datos!T31+Datos!AH31))/(Datos!T31+Datos!AH31))," - ")</f>
        <v>5.8878504672897194E-2</v>
      </c>
      <c r="D31" s="1092">
        <f>IF(ISNUMBER(
   IF(J_V="SI",(Datos!K31-Datos!U31)/Datos!U31,(Datos!K31+Datos!AA31-(Datos!U31+Datos!AI31))/(Datos!U31+Datos!AI31))
     ),IF(J_V="SI",(Datos!K31-Datos!U31)/Datos!U31,(Datos!K31+Datos!AA31-(Datos!U31+Datos!AI31))/(Datos!U31+Datos!AI31))," - ")</f>
        <v>0.28396436525612473</v>
      </c>
      <c r="E31" s="1092">
        <f>IF(ISNUMBER(
   IF(J_V="SI",(Datos!L31-Datos!V31)/Datos!V31,(Datos!L31+Datos!AB31-(Datos!V31+Datos!AJ31))/(Datos!V31+Datos!AJ31))
     ),IF(J_V="SI",(Datos!L31-Datos!V31)/Datos!V31,(Datos!L31+Datos!AB31-(Datos!V31+Datos!AJ31))/(Datos!V31+Datos!AJ31))," - ")</f>
        <v>-7.0754716981132077E-3</v>
      </c>
      <c r="F31" s="1093">
        <f>IF(ISNUMBER((Datos!M31-Datos!W31)/Datos!W31),(Datos!M31-Datos!W31)/Datos!W31," - ")</f>
        <v>0.73170731707317072</v>
      </c>
      <c r="G31" s="1094">
        <f>IF(ISNUMBER((Datos!N31-Datos!X31)/Datos!X31),(Datos!N31-Datos!X31)/Datos!X31," - ")</f>
        <v>0.13900414937759337</v>
      </c>
      <c r="H31" s="1095">
        <f>IF(ISNUMBER((Tasas!B31-Datos!BD31)/Datos!BD31),(Tasas!B31-Datos!BD31)/Datos!BD31," - ")</f>
        <v>0.21257005368407197</v>
      </c>
      <c r="I31" s="1096">
        <f>IF(ISNUMBER((Tasas!C31-Datos!BE31)/Datos!BE31),(Tasas!C31-Datos!BE31)/Datos!BE31," - ")</f>
        <v>-0.22667283051596329</v>
      </c>
      <c r="J31" s="1097">
        <f>IF(ISNUMBER((Tasas!D31-Datos!BF31)/Datos!BF31),(Tasas!D31-Datos!BF31)/Datos!BF31," - ")</f>
        <v>-0.24935540965335365</v>
      </c>
      <c r="K31" s="1097">
        <f>IF(ISNUMBER((Tasas!E31-Datos!BG31)/Datos!BG31),(Tasas!E31-Datos!BG31)/Datos!BG31," - ")</f>
        <v>-0.13338582598955359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Wl2qME98S1wPX0wlExvHFwZHLN4ICKYszAXhBX7UbmNr5QBqOU9i5HeNqFPJvmq2C2FlxY0orORT4SHAs4vKQ==" saltValue="oTq9pUfrSWzsYzNiH+oc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OLOT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0.2857142857142857</v>
      </c>
      <c r="C10" s="498">
        <f>IF(ISNUMBER(NºAsuntos!I10/NºAsuntos!G10),NºAsuntos!I10/NºAsuntos!G10," - ")</f>
        <v>17</v>
      </c>
      <c r="D10" s="499">
        <f>IF(ISNUMBER('Resol  Asuntos'!D10/NºAsuntos!G10),'Resol  Asuntos'!D10/NºAsuntos!G10," - ")</f>
        <v>1</v>
      </c>
      <c r="E10" s="500">
        <f>IF(ISNUMBER((NºAsuntos!C10+NºAsuntos!E10)/NºAsuntos!G10),(NºAsuntos!C10+NºAsuntos!E10)/NºAsuntos!G10," - ")</f>
        <v>16.5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0.90493601462522855</v>
      </c>
      <c r="C12" s="498">
        <f>IF(ISNUMBER(NºAsuntos!I12/NºAsuntos!G12),NºAsuntos!I12/NºAsuntos!G12," - ")</f>
        <v>3.5676767676767676</v>
      </c>
      <c r="D12" s="499">
        <f>IF(ISNUMBER('Resol  Asuntos'!D12/NºAsuntos!G12),'Resol  Asuntos'!D12/NºAsuntos!G12," - ")</f>
        <v>0.21414141414141413</v>
      </c>
      <c r="E12" s="500">
        <f>IF(ISNUMBER((NºAsuntos!C12+NºAsuntos!E12)/NºAsuntos!G12),(NºAsuntos!C12+NºAsuntos!E12)/NºAsuntos!G12," - ")</f>
        <v>4.8121212121212125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0.8971119133574007</v>
      </c>
      <c r="C14" s="1156">
        <f>IF(ISNUMBER(NºAsuntos!I14/NºAsuntos!G14),NºAsuntos!I14/NºAsuntos!G14," - ")</f>
        <v>3.6217303822937628</v>
      </c>
      <c r="D14" s="1157">
        <f>IF(ISNUMBER('Resol  Asuntos'!D14/NºAsuntos!G14),'Resol  Asuntos'!D14/NºAsuntos!G14," - ")</f>
        <v>0.21730382293762576</v>
      </c>
      <c r="E14" s="1158">
        <f>IF(ISNUMBER((NºAsuntos!C14+NºAsuntos!E14)/NºAsuntos!G14),(NºAsuntos!C14+NºAsuntos!E14)/NºAsuntos!G14," - ")</f>
        <v>4.859154929577465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1.1205936920222634</v>
      </c>
      <c r="C17" s="498">
        <f>IF(ISNUMBER(NºAsuntos!I17/NºAsuntos!G17),NºAsuntos!I17/NºAsuntos!G17," - ")</f>
        <v>1.6870860927152318</v>
      </c>
      <c r="D17" s="499">
        <f>IF(ISNUMBER('Resol  Asuntos'!D17/NºAsuntos!G17),'Resol  Asuntos'!D17/NºAsuntos!G17," - ")</f>
        <v>0.17384105960264901</v>
      </c>
      <c r="E17" s="500">
        <f>IF(ISNUMBER((NºAsuntos!C17+NºAsuntos!E17)/NºAsuntos!G17),(NºAsuntos!C17+NºAsuntos!E17)/NºAsuntos!G17," - ")</f>
        <v>2.7814569536423841</v>
      </c>
      <c r="G17" s="523"/>
    </row>
    <row r="18" spans="1:7">
      <c r="A18" s="450" t="str">
        <f>Datos!A18</f>
        <v>Jdos. Violencia contra la mujer</v>
      </c>
      <c r="B18" s="497">
        <f>IF(ISNUMBER(NºAsuntos!G18/NºAsuntos!E18),NºAsuntos!G18/NºAsuntos!E18," - ")</f>
        <v>1.3</v>
      </c>
      <c r="C18" s="498">
        <f>IF(ISNUMBER(NºAsuntos!I18/NºAsuntos!G18),NºAsuntos!I18/NºAsuntos!G18," - ")</f>
        <v>2.4615384615384617</v>
      </c>
      <c r="D18" s="499">
        <f>IF(ISNUMBER('Resol  Asuntos'!D18/NºAsuntos!G18),'Resol  Asuntos'!D18/NºAsuntos!G18," - ")</f>
        <v>0</v>
      </c>
      <c r="E18" s="500">
        <f>IF(ISNUMBER((NºAsuntos!C18+NºAsuntos!E18)/NºAsuntos!G18),(NºAsuntos!C18+NºAsuntos!E18)/NºAsuntos!G18," - ")</f>
        <v>3.4615384615384617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1.1329879101899827</v>
      </c>
      <c r="C23" s="1156">
        <f>IF(ISNUMBER(NºAsuntos!I23/NºAsuntos!G23),NºAsuntos!I23/NºAsuntos!G23," - ")</f>
        <v>1.7484756097560976</v>
      </c>
      <c r="D23" s="1159">
        <f>IF(ISNUMBER('Resol  Asuntos'!D23/NºAsuntos!G23),'Resol  Asuntos'!D23/NºAsuntos!G23," - ")</f>
        <v>0.1600609756097561</v>
      </c>
      <c r="E23" s="1158">
        <f>IF(ISNUMBER((NºAsuntos!C23+NºAsuntos!E23)/NºAsuntos!G23),(NºAsuntos!C23+NºAsuntos!E23)/NºAsuntos!G23," - ")</f>
        <v>2.8353658536585367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1.0176522506619594</v>
      </c>
      <c r="C31" s="1099">
        <f>IF(ISNUMBER(NºAsuntos!I31/NºAsuntos!G31),NºAsuntos!I31/NºAsuntos!G31," - ")</f>
        <v>2.5559410234171724</v>
      </c>
      <c r="D31" s="1100">
        <f>IF(ISNUMBER('Resol  Asuntos'!D31/NºAsuntos!G31),'Resol  Asuntos'!D31/NºAsuntos!G31," - ")</f>
        <v>0.18473547267996532</v>
      </c>
      <c r="E31" s="1101">
        <f>IF(ISNUMBER((NºAsuntos!C31+NºAsuntos!E31)/NºAsuntos!G31),(NºAsuntos!C31+NºAsuntos!E31)/NºAsuntos!G31," - ")</f>
        <v>3.7077189939288813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aoEhadqO4f/SGQEWPxmMXRK1MBqHRSf8egDZSM9oIlwUCKAeRS+6tpU71Znc8iSLrvhc0kq0F9S09R+rJetQQ==" saltValue="prZ1zoH7wzXX0Ij+2hhp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OLOT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6</v>
      </c>
      <c r="Y10" s="374">
        <f t="shared" ref="Y10:Y13" si="0">SUM(W10:X10)</f>
        <v>8</v>
      </c>
      <c r="Z10" s="375" t="str">
        <f>IF(ISNUMBER(Datos!CC10),Datos!CC10," - ")</f>
        <v xml:space="preserve"> - </v>
      </c>
      <c r="AA10" s="372">
        <f>IF(ISNUMBER(Datos!L10),Datos!L10,"-")</f>
        <v>34</v>
      </c>
      <c r="AB10" s="374">
        <f>IF(ISNUMBER(Datos!R10),Datos!R10," - ")</f>
        <v>23</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0.2857142857142857</v>
      </c>
      <c r="AM10" s="284">
        <f>IF(ISNUMBER(((NºAsuntos!I10/NºAsuntos!G10)*11)/factor_trimestre),((NºAsuntos!I10/NºAsuntos!G10)*11)/factor_trimestre," - ")</f>
        <v>51</v>
      </c>
      <c r="AN10" s="267">
        <f>IF(ISNUMBER('Resol  Asuntos'!D10/NºAsuntos!G10),'Resol  Asuntos'!D10/NºAsuntos!G10," - ")</f>
        <v>1</v>
      </c>
      <c r="AO10" s="268">
        <f>IF(ISNUMBER((NºAsuntos!C10+NºAsuntos!E10)/NºAsuntos!G10),(NºAsuntos!C10+NºAsuntos!E10)/NºAsuntos!G10," - ")</f>
        <v>16.5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0.90493601462522855</v>
      </c>
      <c r="AM12" s="284">
        <f>IF(ISNUMBER(((NºAsuntos!I12/NºAsuntos!G12)*11)/factor_trimestre),((NºAsuntos!I12/NºAsuntos!G12)*11)/factor_trimestre," - ")</f>
        <v>10.703030303030303</v>
      </c>
      <c r="AN12" s="267">
        <f>IF(ISNUMBER('Resol  Asuntos'!D12/NºAsuntos!G12),'Resol  Asuntos'!D12/NºAsuntos!G12," - ")</f>
        <v>0.21414141414141413</v>
      </c>
      <c r="AO12" s="268">
        <f>IF(ISNUMBER((NºAsuntos!C12+NºAsuntos!E12)/NºAsuntos!G12),(NºAsuntos!C12+NºAsuntos!E12)/NºAsuntos!G12," - ")</f>
        <v>4.8121212121212125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29</v>
      </c>
      <c r="G14" s="1163">
        <f t="shared" si="5"/>
        <v>26</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71</v>
      </c>
      <c r="Y14" s="1165">
        <f t="shared" si="6"/>
        <v>73</v>
      </c>
      <c r="Z14" s="1165">
        <f t="shared" si="6"/>
        <v>0</v>
      </c>
      <c r="AA14" s="1165">
        <f t="shared" si="6"/>
        <v>34</v>
      </c>
      <c r="AB14" s="1165">
        <f t="shared" si="6"/>
        <v>2531</v>
      </c>
      <c r="AC14" s="1165">
        <f t="shared" si="6"/>
        <v>57</v>
      </c>
      <c r="AD14" s="1165">
        <f t="shared" si="6"/>
        <v>0</v>
      </c>
      <c r="AE14" s="1169">
        <f t="shared" si="6"/>
        <v>0</v>
      </c>
      <c r="AF14" s="1162">
        <f t="shared" si="6"/>
        <v>0</v>
      </c>
      <c r="AG14" s="1170">
        <f t="shared" si="6"/>
        <v>0</v>
      </c>
      <c r="AH14" s="1167">
        <f t="shared" si="6"/>
        <v>0</v>
      </c>
      <c r="AI14" s="1162">
        <f t="shared" si="6"/>
        <v>108</v>
      </c>
      <c r="AJ14" s="1164">
        <f t="shared" si="6"/>
        <v>0</v>
      </c>
      <c r="AK14" s="1167">
        <f>SUBTOTAL(9,AK9:AK13)</f>
        <v>0</v>
      </c>
      <c r="AL14" s="1171">
        <f>IF(ISNUMBER(NºAsuntos!G14/NºAsuntos!E14),NºAsuntos!G14/NºAsuntos!E14," - ")</f>
        <v>0.8971119133574007</v>
      </c>
      <c r="AM14" s="1171">
        <f>IF(ISNUMBER(((NºAsuntos!I14/NºAsuntos!G14)*11)/factor_trimestre),((NºAsuntos!I14/NºAsuntos!G14)*11)/factor_trimestre," - ")</f>
        <v>10.865191146881289</v>
      </c>
      <c r="AN14" s="1172">
        <f>IF(ISNUMBER('Resol  Asuntos'!D14/NºAsuntos!G14),'Resol  Asuntos'!D14/NºAsuntos!G14," - ")</f>
        <v>0.21730382293762576</v>
      </c>
      <c r="AO14" s="1173">
        <f>IF(ISNUMBER((NºAsuntos!C14+NºAsuntos!E14)/NºAsuntos!G14),(NºAsuntos!C14+NºAsuntos!E14)/NºAsuntos!G14," - ")</f>
        <v>4.859154929577465</v>
      </c>
      <c r="AP14" s="1174" t="str">
        <f t="shared" si="2"/>
        <v xml:space="preserve"> - </v>
      </c>
      <c r="AQ14" s="1174">
        <f>IF(ISNUMBER((H14-W14+K14)/(F14)),(H14-W14+K14)/(F14)," - ")</f>
        <v>-6.8965517241379309E-2</v>
      </c>
      <c r="AR14" s="1175">
        <f>IF(ISNUMBER((Datos!P14-Datos!Q14)/(Datos!R14-Datos!P14+Datos!Q14)),(Datos!P14-Datos!Q14)/(Datos!R14-Datos!P14+Datos!Q14)," - ")</f>
        <v>2.9280195201301342E-2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1084</v>
      </c>
      <c r="G17" s="373">
        <f>IF(ISNUMBER(IF(D_I="SI",Datos!I17,Datos!I17+Datos!AC17)),IF(D_I="SI",Datos!I17,Datos!I17+Datos!AC17)," - ")</f>
        <v>1141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604</v>
      </c>
      <c r="X17" s="240">
        <f>IF(ISNUMBER(Datos!Q17),Datos!Q17," - ")</f>
        <v>15</v>
      </c>
      <c r="Y17" s="374">
        <f t="shared" ref="Y17:Y22" si="9">SUM(W17:X17)</f>
        <v>619</v>
      </c>
      <c r="Z17" s="375" t="str">
        <f>IF(ISNUMBER(Datos!CC17),Datos!CC17," - ")</f>
        <v xml:space="preserve"> - </v>
      </c>
      <c r="AA17" s="372">
        <f>IF(ISNUMBER(IF(D_I="SI",Datos!L17,Datos!L17+Datos!AF17)),IF(D_I="SI",Datos!L17,Datos!L17+Datos!AF17)," - ")</f>
        <v>1019</v>
      </c>
      <c r="AB17" s="374">
        <f>IF(ISNUMBER(Datos!R17),Datos!R17," - ")</f>
        <v>132</v>
      </c>
      <c r="AC17" s="374">
        <f t="shared" si="8"/>
        <v>1151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1.1205936920222634</v>
      </c>
      <c r="AM17" s="284">
        <f>IF(ISNUMBER(((NºAsuntos!I17/NºAsuntos!G17)*11)/factor_trimestre),((NºAsuntos!I17/NºAsuntos!G17)*11)/factor_trimestre," - ")</f>
        <v>5.0612582781456954</v>
      </c>
      <c r="AN17" s="267">
        <f>IF(ISNUMBER('Resol  Asuntos'!D17/NºAsuntos!G17),'Resol  Asuntos'!D17/NºAsuntos!G17," - ")</f>
        <v>0.17384105960264901</v>
      </c>
      <c r="AO17" s="268">
        <f>IF(ISNUMBER((NºAsuntos!C17+NºAsuntos!E17)/NºAsuntos!G17),(NºAsuntos!C17+NºAsuntos!E17)/NºAsuntos!G17," - ")</f>
        <v>2.7814569536423841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0</v>
      </c>
      <c r="Y18" s="374">
        <f t="shared" si="9"/>
        <v>52</v>
      </c>
      <c r="Z18" s="375" t="str">
        <f>IF(ISNUMBER(Datos!CC18),Datos!CC18," - ")</f>
        <v xml:space="preserve"> - </v>
      </c>
      <c r="AA18" s="372">
        <f>IF(ISNUMBER(Datos!L18),Datos!L18,"-")</f>
        <v>128</v>
      </c>
      <c r="AB18" s="374">
        <f>IF(ISNUMBER(Datos!R18),Datos!R18," - ")</f>
        <v>3</v>
      </c>
      <c r="AC18" s="374">
        <f t="shared" si="8"/>
        <v>131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v>
      </c>
      <c r="AM18" s="284">
        <f>IF(ISNUMBER(((NºAsuntos!I18/NºAsuntos!G18)*11)/factor_trimestre),((NºAsuntos!I18/NºAsuntos!G18)*11)/factor_trimestre," - ")</f>
        <v>7.3846153846153859</v>
      </c>
      <c r="AN18" s="267">
        <f>IF(ISNUMBER('Resol  Asuntos'!D18/NºAsuntos!G18),'Resol  Asuntos'!D18/NºAsuntos!G18," - ")</f>
        <v>0</v>
      </c>
      <c r="AO18" s="268">
        <f>IF(ISNUMBER((NºAsuntos!C18+NºAsuntos!E18)/NºAsuntos!G18),(NºAsuntos!C18+NºAsuntos!E18)/NºAsuntos!G18," - ")</f>
        <v>3.4615384615384617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1084</v>
      </c>
      <c r="G23" s="1163">
        <f>SUBTOTAL(9,G16:G22)</f>
        <v>1281</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656</v>
      </c>
      <c r="X23" s="1164">
        <f t="shared" si="14"/>
        <v>15</v>
      </c>
      <c r="Y23" s="1165">
        <f t="shared" si="14"/>
        <v>671</v>
      </c>
      <c r="Z23" s="1165">
        <f t="shared" si="14"/>
        <v>0</v>
      </c>
      <c r="AA23" s="1165">
        <f t="shared" si="14"/>
        <v>1147</v>
      </c>
      <c r="AB23" s="1165">
        <f t="shared" si="14"/>
        <v>135</v>
      </c>
      <c r="AC23" s="1165">
        <f t="shared" si="14"/>
        <v>1282</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1.1329879101899827</v>
      </c>
      <c r="AM23" s="1171">
        <f>IF(ISNUMBER(((NºAsuntos!I23/NºAsuntos!G23)*11)/factor_trimestre),((NºAsuntos!I23/NºAsuntos!G23)*11)/factor_trimestre," - ")</f>
        <v>5.2454268292682933</v>
      </c>
      <c r="AN23" s="1172">
        <f>IF(ISNUMBER('Resol  Asuntos'!D23/NºAsuntos!G23),'Resol  Asuntos'!D23/NºAsuntos!G23," - ")</f>
        <v>0.1600609756097561</v>
      </c>
      <c r="AO23" s="1173">
        <f>IF(ISNUMBER((NºAsuntos!C23+NºAsuntos!E23)/NºAsuntos!G23),(NºAsuntos!C23+NºAsuntos!E23)/NºAsuntos!G23," - ")</f>
        <v>2.8353658536585367</v>
      </c>
      <c r="AP23" s="1174" t="str">
        <f t="shared" si="2"/>
        <v xml:space="preserve"> - </v>
      </c>
      <c r="AQ23" s="1174">
        <f>IF(ISNUMBER((H23-W23+K23)/(F23)),(H23-W23+K23)/(F23)," - ")</f>
        <v>-0.60516605166051662</v>
      </c>
      <c r="AR23" s="1175">
        <f>IF(ISNUMBER((Datos!P23-Datos!Q23)/(Datos!R23-Datos!P23+Datos!Q23)),(Datos!P23-Datos!Q23)/(Datos!R23-Datos!P23+Datos!Q23)," - ")</f>
        <v>9.7560975609756101E-2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1113</v>
      </c>
      <c r="G31" s="1118">
        <f t="shared" si="20"/>
        <v>1307</v>
      </c>
      <c r="H31" s="1117">
        <f t="shared" si="20"/>
        <v>0</v>
      </c>
      <c r="I31" s="1119">
        <f t="shared" si="20"/>
        <v>0</v>
      </c>
      <c r="J31" s="1119">
        <f t="shared" si="20"/>
        <v>0</v>
      </c>
      <c r="K31" s="1180">
        <f t="shared" si="20"/>
        <v>0</v>
      </c>
      <c r="L31" s="1119">
        <f t="shared" si="20"/>
        <v>170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658</v>
      </c>
      <c r="X31" s="1118">
        <f t="shared" si="21"/>
        <v>86</v>
      </c>
      <c r="Y31" s="1125">
        <f t="shared" si="21"/>
        <v>744</v>
      </c>
      <c r="Z31" s="1125">
        <f t="shared" si="21"/>
        <v>0</v>
      </c>
      <c r="AA31" s="1125">
        <f t="shared" si="21"/>
        <v>1181</v>
      </c>
      <c r="AB31" s="1125">
        <f t="shared" si="21"/>
        <v>2666</v>
      </c>
      <c r="AC31" s="1125">
        <f t="shared" si="21"/>
        <v>1339</v>
      </c>
      <c r="AD31" s="1125">
        <f t="shared" si="21"/>
        <v>0</v>
      </c>
      <c r="AE31" s="1127">
        <f t="shared" si="21"/>
        <v>0</v>
      </c>
      <c r="AF31" s="1128">
        <f t="shared" si="21"/>
        <v>0</v>
      </c>
      <c r="AG31" s="1129">
        <f t="shared" si="21"/>
        <v>0</v>
      </c>
      <c r="AH31" s="1127">
        <f t="shared" si="21"/>
        <v>0</v>
      </c>
      <c r="AI31" s="1117">
        <f t="shared" si="21"/>
        <v>213</v>
      </c>
      <c r="AJ31" s="1117">
        <f t="shared" si="21"/>
        <v>0</v>
      </c>
      <c r="AK31" s="1127">
        <f t="shared" si="21"/>
        <v>0</v>
      </c>
      <c r="AL31" s="1183">
        <f>IF(ISNUMBER(NºAsuntos!G31/NºAsuntos!E31),NºAsuntos!G31/NºAsuntos!E31," - ")</f>
        <v>1.0176522506619594</v>
      </c>
      <c r="AM31" s="1184">
        <f>IF(ISNUMBER(((NºAsuntos!I31/NºAsuntos!G31)*11)/factor_trimestre),((NºAsuntos!I31/NºAsuntos!G31)*11)/factor_trimestre," - ")</f>
        <v>7.6678230702515178</v>
      </c>
      <c r="AN31" s="1184">
        <f>IF(ISNUMBER('Resol  Asuntos'!D31/NºAsuntos!G31),'Resol  Asuntos'!D31/NºAsuntos!G31," - ")</f>
        <v>0.18473547267996532</v>
      </c>
      <c r="AO31" s="1185">
        <f>IF(ISNUMBER((NºAsuntos!C31+NºAsuntos!E31)/NºAsuntos!G31),(NºAsuntos!C31+NºAsuntos!E31)/NºAsuntos!G31," - ")</f>
        <v>3.7077189939288813</v>
      </c>
      <c r="AP31" s="1186" t="str">
        <f t="shared" si="2"/>
        <v xml:space="preserve"> - </v>
      </c>
      <c r="AQ31" s="1187">
        <f>IF(OR(ISNUMBER(FIND("01",Criterios!A8,1)),ISNUMBER(FIND("02",Criterios!A8,1)),ISNUMBER(FIND("03",Criterios!A8,1)),ISNUMBER(FIND("04",Criterios!A8,1))),(I31-W31+K31)/(F31-K31),(H31-W31+K31)/(F31-K31))</f>
        <v>-0.5911949685534591</v>
      </c>
      <c r="AR31" s="1188">
        <f>IF(ISNUMBER((Datos!P31-Datos!Q31)/(Datos!R31-Datos!P31+Datos!Q31)),(Datos!P31-Datos!Q31)/(Datos!R31-Datos!P31+Datos!Q31)," - ")</f>
        <v>3.2532920216886134E-2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552.43967996515232</v>
      </c>
      <c r="G33" s="277">
        <f>IF(ISNUMBER(STDEV(G8:G30)),STDEV(G8:G30),"-")</f>
        <v>575.56518806672602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302.8905192749794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56.403520660124954</v>
      </c>
      <c r="AJ33" s="276">
        <f t="shared" si="25"/>
        <v>0</v>
      </c>
      <c r="AK33" s="278">
        <f t="shared" si="25"/>
        <v>0</v>
      </c>
      <c r="AL33" s="273">
        <f t="shared" si="25"/>
        <v>0.35513850286016224</v>
      </c>
      <c r="AM33" s="274">
        <f t="shared" si="25"/>
        <v>17.795919392672971</v>
      </c>
      <c r="AN33" s="274">
        <f t="shared" si="25"/>
        <v>0.3548265007012778</v>
      </c>
      <c r="AO33" s="275">
        <f t="shared" si="25"/>
        <v>5.2855739219846001</v>
      </c>
      <c r="AP33" s="317" t="str">
        <f t="shared" si="25"/>
        <v>-</v>
      </c>
      <c r="AQ33" s="318">
        <f t="shared" si="25"/>
        <v>0.37915103396362271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F9yV3TifxLuTUk+AddZSmaWt8ZQXWtnonI5fTI77IgSCIBzW9hbW7lTRi2PbD7wX4LIVZ5kE7OeXN4kYbdRSg==" saltValue="PbmXeynROcomeBPZV6Ei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OLOT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0.04</v>
      </c>
      <c r="E10" s="393">
        <f>IF(ISNUMBER((Datos!J10-Datos!T10)/Datos!T10),(Datos!J10-Datos!T10)/Datos!T10," - ")</f>
        <v>0.75</v>
      </c>
      <c r="F10" s="393">
        <f>IF(ISNUMBER((Datos!K10-Datos!U10)/Datos!U10),(Datos!K10-Datos!U10)/Datos!U10," - ")</f>
        <v>-0.7142857142857143</v>
      </c>
      <c r="G10" s="394">
        <f>IF(ISNUMBER((Datos!L10-Datos!V10)/Datos!V10),(Datos!L10-Datos!V10)/Datos!V10," - ")</f>
        <v>0.41666666666666669</v>
      </c>
      <c r="H10" s="244">
        <f>IF(ISNUMBER((Datos!M10-Datos!W10)/Datos!W10),(Datos!M10-Datos!W10)/Datos!W10," - ")</f>
        <v>0</v>
      </c>
      <c r="I10" s="395">
        <f>IF(ISNUMBER((Tasas!C10-Datos!BE10)/Datos!BE10),(Tasas!C10-Datos!BE10)/Datos!BE10," - ")</f>
        <v>3.9583333333333335</v>
      </c>
      <c r="J10" s="394">
        <f>IF(ISNUMBER((Tasas!D10-Datos!BF10)/Datos!BF10),(Tasas!D10-Datos!BF10)/Datos!BF10," - ")</f>
        <v>2.5</v>
      </c>
      <c r="K10" s="396">
        <f>IF(ISNUMBER((Tasas!E10-Datos!BG10)/Datos!BG10),(Tasas!E10-Datos!BG10)/Datos!BG10," - ")</f>
        <v>2.9827586206896548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1.5238095238095237</v>
      </c>
      <c r="I12" s="395">
        <f>IF(ISNUMBER((Tasas!C12-Datos!BE12)/Datos!BE12),(Tasas!C12-Datos!BE12)/Datos!BE12," - ")</f>
        <v>-0.36375129854342103</v>
      </c>
      <c r="J12" s="394">
        <f>IF(ISNUMBER((Tasas!D12-Datos!BF12)/Datos!BF12),(Tasas!D12-Datos!BF12)/Datos!BF12," - ")</f>
        <v>-0.50135642135642144</v>
      </c>
      <c r="K12" s="396">
        <f>IF(ISNUMBER((Tasas!E12-Datos!BG12)/Datos!BG12),(Tasas!E12-Datos!BG12)/Datos!BG12," - ")</f>
        <v>-0.27102624760617322</v>
      </c>
      <c r="M12" t="e">
        <f>IF(Monitorios="SI",Datos!CE12,0)</f>
        <v>#REF!</v>
      </c>
      <c r="N12" t="e">
        <f>IF(Monitorios="SI",Datos!CF12,0)</f>
        <v>#REF!</v>
      </c>
      <c r="O12" t="e">
        <f>IF(Monitorios="SI",Datos!CG12,0)</f>
        <v>#REF!</v>
      </c>
      <c r="P12" t="e">
        <f>IF(Monitorios="SI",Datos!CH12,0)</f>
        <v>#REF!</v>
      </c>
      <c r="Q12">
        <f>IF(J_V="SI",0,Datos!AG12)</f>
        <v>33</v>
      </c>
      <c r="R12">
        <f>IF(J_V="SI",0,Datos!AH12)</f>
        <v>12</v>
      </c>
      <c r="S12">
        <f>IF(J_V="SI",0,Datos!AI12)</f>
        <v>21</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1.4545454545454546</v>
      </c>
      <c r="I14" s="402">
        <f>IF(ISNUMBER((Tasas!C14-Datos!BE14)/Datos!BE14),(Tasas!C14-Datos!BE14)/Datos!BE14," - ")</f>
        <v>-0.34879253925279541</v>
      </c>
      <c r="J14" s="400">
        <f>IF(ISNUMBER((Tasas!D14-Datos!BF14)/Datos!BF14),(Tasas!D14-Datos!BF14)/Datos!BF14," - ")</f>
        <v>-0.4904072321251452</v>
      </c>
      <c r="K14" s="403">
        <f>IF(ISNUMBER((Tasas!E14-Datos!BG14)/Datos!BG14),(Tasas!E14-Datos!BG14)/Datos!BG14," - ")</f>
        <v>-0.25809326384718212</v>
      </c>
      <c r="M14" t="e">
        <f>IF(Monitorios="SI",Datos!CE14,0)</f>
        <v>#REF!</v>
      </c>
      <c r="N14" t="e">
        <f>IF(Monitorios="SI",Datos!CF14,0)</f>
        <v>#REF!</v>
      </c>
      <c r="O14" t="e">
        <f>IF(Monitorios="SI",Datos!CG14,0)</f>
        <v>#REF!</v>
      </c>
      <c r="P14" t="e">
        <f>IF(Monitorios="SI",Datos!CH14,0)</f>
        <v>#REF!</v>
      </c>
      <c r="Q14">
        <f>IF(J_V="SI",0,Datos!AG14)</f>
        <v>33</v>
      </c>
      <c r="R14">
        <f>IF(J_V="SI",0,Datos!AH14)</f>
        <v>12</v>
      </c>
      <c r="S14">
        <f>IF(J_V="SI",0,Datos!AI14)</f>
        <v>21</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0.21512247071352503</v>
      </c>
      <c r="E17" s="393">
        <f>IF(ISNUMBER(
   IF(D_I="SI",(Datos!J17-Datos!T17)/Datos!T17,(Datos!J17+Datos!AD17-(Datos!T17+Datos!AL17))/(Datos!T17+Datos!AL17))
     ),IF(D_I="SI",(Datos!J17-Datos!T17)/Datos!T17,(Datos!J17+Datos!AD17-(Datos!T17+Datos!AL17))/(Datos!T17+Datos!AL17))," - ")</f>
        <v>-1.6423357664233577E-2</v>
      </c>
      <c r="F17" s="393">
        <f>IF(ISNUMBER(
   IF(D_I="SI",(Datos!K17-Datos!U17)/Datos!U17,(Datos!K17+Datos!AE17-(Datos!U17+Datos!AM17))/(Datos!U17+Datos!AM17))
     ),IF(D_I="SI",(Datos!K17-Datos!U17)/Datos!U17,(Datos!K17+Datos!AE17-(Datos!U17+Datos!AM17))/(Datos!U17+Datos!AM17))," - ")</f>
        <v>0.21774193548387097</v>
      </c>
      <c r="G17" s="394">
        <f>IF(ISNUMBER(
   IF(D_I="SI",(Datos!L17-Datos!V17)/Datos!V17,(Datos!L17+Datos!AF17-(Datos!V17+Datos!AN17))/(Datos!V17+Datos!AN17))
     ),IF(D_I="SI",(Datos!L17-Datos!V17)/Datos!V17,(Datos!L17+Datos!AF17-(Datos!V17+Datos!AN17))/(Datos!V17+Datos!AN17))," - ")</f>
        <v>1.1916583912611719E-2</v>
      </c>
      <c r="H17" s="244">
        <f>IF(ISNUMBER((Datos!M17-Datos!W17)/Datos!W17),(Datos!M17-Datos!W17)/Datos!W17," - ")</f>
        <v>0.38157894736842107</v>
      </c>
      <c r="I17" s="395">
        <f>IF(ISNUMBER((Tasas!C17-Datos!BE17)/Datos!BE17),(Tasas!C17-Datos!BE17)/Datos!BE17," - ")</f>
        <v>-0.16902214301215993</v>
      </c>
      <c r="J17" s="394">
        <f>IF(ISNUMBER((Tasas!D17-Datos!BF17)/Datos!BF17),(Tasas!D17-Datos!BF17)/Datos!BF17," - ")</f>
        <v>0.13454165214360403</v>
      </c>
      <c r="K17" s="396">
        <f>IF(ISNUMBER((Tasas!E17-Datos!BG17)/Datos!BG17),(Tasas!E17-Datos!BG17)/Datos!BG17," - ")</f>
        <v>-7.2224176861719919E-2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0.28440366972477066</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-0.24637681159420291</v>
      </c>
      <c r="G18" s="394">
        <f>IF(ISNUMBER(
   IF(D_I="SI",(Datos!L18-Datos!V18)/Datos!V18,(Datos!L18+Datos!AF18-(Datos!V18+Datos!AN18))/(Datos!V18+Datos!AN18))
     ),IF(D_I="SI",(Datos!L18-Datos!V18)/Datos!V18,(Datos!L18+Datos!AF18-(Datos!V18+Datos!AN18))/(Datos!V18+Datos!AN18))," - ")</f>
        <v>0.1743119266055046</v>
      </c>
      <c r="H18" s="244">
        <f>IF(ISNUMBER((Datos!M18-Datos!W18)/Datos!W18),(Datos!M18-Datos!W18)/Datos!W18," - ")</f>
        <v>-1</v>
      </c>
      <c r="I18" s="395">
        <f>IF(ISNUMBER((Tasas!C18-Datos!BE18)/Datos!BE18),(Tasas!C18-Datos!BE18)/Datos!BE18," - ")</f>
        <v>0.55822159491884282</v>
      </c>
      <c r="J18" s="394">
        <f>IF(ISNUMBER((Tasas!D18-Datos!BF18)/Datos!BF18),(Tasas!D18-Datos!BF18)/Datos!BF18," - ")</f>
        <v>-1</v>
      </c>
      <c r="K18" s="396">
        <f>IF(ISNUMBER((Tasas!E18-Datos!BG18)/Datos!BG18),(Tasas!E18-Datos!BG18)/Datos!BG18," - ")</f>
        <v>0.37267904509283822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0.22232824427480916</v>
      </c>
      <c r="E23" s="399">
        <f>IF(ISNUMBER(
   IF(D_I="SI",(Datos!J23-Datos!T23)/Datos!T23,(Datos!J23+Datos!AD23-(Datos!T23+Datos!AL23))/(Datos!T23+Datos!AL23))
     ),IF(D_I="SI",(Datos!J23-Datos!T23)/Datos!T23,(Datos!J23+Datos!AD23-(Datos!T23+Datos!AL23))/(Datos!T23+Datos!AL23))," - ")</f>
        <v>-5.5464926590538338E-2</v>
      </c>
      <c r="F23" s="399">
        <f>IF(ISNUMBER(
   IF(D_I="SI",(Datos!K23-Datos!U23)/Datos!U23,(Datos!K23+Datos!AE23-(Datos!U23+Datos!AM23))/(Datos!U23+Datos!AM23))
     ),IF(D_I="SI",(Datos!K23-Datos!U23)/Datos!U23,(Datos!K23+Datos!AE23-(Datos!U23+Datos!AM23))/(Datos!U23+Datos!AM23))," - ")</f>
        <v>0.16106194690265488</v>
      </c>
      <c r="G23" s="400">
        <f>IF(ISNUMBER(
   IF(D_I="SI",(Datos!L23-Datos!V23)/Datos!V23,(Datos!L23+Datos!AF23-(Datos!V23+Datos!AN23))/(Datos!V23+Datos!AN23))
     ),IF(D_I="SI",(Datos!L23-Datos!V23)/Datos!V23,(Datos!L23+Datos!AF23-(Datos!V23+Datos!AN23))/(Datos!V23+Datos!AN23))," - ")</f>
        <v>2.7777777777777776E-2</v>
      </c>
      <c r="H23" s="401">
        <f>IF(ISNUMBER((Datos!M23-Datos!W23)/Datos!W23),(Datos!M23-Datos!W23)/Datos!W23," - ")</f>
        <v>0.32911392405063289</v>
      </c>
      <c r="I23" s="402">
        <f>IF(ISNUMBER((Tasas!C23-Datos!BE23)/Datos!BE23),(Tasas!C23-Datos!BE23)/Datos!BE23," - ")</f>
        <v>-0.11479505420054194</v>
      </c>
      <c r="J23" s="400">
        <f>IF(ISNUMBER((Tasas!D23-Datos!BF23)/Datos!BF23),(Tasas!D23-Datos!BF23)/Datos!BF23," - ")</f>
        <v>0.14473988885458466</v>
      </c>
      <c r="K23" s="403">
        <f>IF(ISNUMBER((Tasas!E23-Datos!BG23)/Datos!BG23),(Tasas!E23-Datos!BG23)/Datos!BG23," - ")</f>
        <v>-3.5531783674248543E-2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0.13347763347763347</v>
      </c>
      <c r="E31" s="409">
        <f>IF(ISNUMBER(
   IF(J_V="SI",(Datos!J31-Datos!T31)/Datos!T31,(Datos!J31+Datos!Z31-(Datos!T31+Datos!AH31))/(Datos!T31+Datos!AH31))
     ),IF(J_V="SI",(Datos!J31-Datos!T31)/Datos!T31,(Datos!J31+Datos!Z31-(Datos!T31+Datos!AH31))/(Datos!T31+Datos!AH31))," - ")</f>
        <v>5.8878504672897194E-2</v>
      </c>
      <c r="F31" s="409">
        <f>IF(ISNUMBER(
   IF(J_V="SI",(Datos!K31-Datos!U31)/Datos!U31,(Datos!K31+Datos!AA31-(Datos!U31+Datos!AI31))/(Datos!U31+Datos!AI31))
     ),IF(J_V="SI",(Datos!K31-Datos!U31)/Datos!U31,(Datos!K31+Datos!AA31-(Datos!U31+Datos!AI31))/(Datos!U31+Datos!AI31))," - ")</f>
        <v>0.28396436525612473</v>
      </c>
      <c r="G31" s="410">
        <f>IF(ISNUMBER(
   IF(J_V="SI",(Datos!L31-Datos!V31)/Datos!V31,(Datos!L31+Datos!AB31-(Datos!V31+Datos!AJ31))/(Datos!V31+Datos!AJ31))
     ),IF(J_V="SI",(Datos!L31-Datos!V31)/Datos!V31,(Datos!L31+Datos!AB31-(Datos!V31+Datos!AJ31))/(Datos!V31+Datos!AJ31))," - ")</f>
        <v>-7.0754716981132077E-3</v>
      </c>
      <c r="H31" s="411">
        <f>IF(ISNUMBER((Datos!M31-Datos!W31)/Datos!W31),(Datos!M31-Datos!W31)/Datos!W31," - ")</f>
        <v>0.73170731707317072</v>
      </c>
      <c r="I31" s="408">
        <f>IF(ISNUMBER((Tasas!C31-Datos!BE31)/Datos!BE31),(Tasas!C31-Datos!BE31)/Datos!BE31," - ")</f>
        <v>-0.22667283051596329</v>
      </c>
      <c r="J31" s="409">
        <f>IF(ISNUMBER((Tasas!D31-Datos!BF31)/Datos!BF31),(Tasas!D31-Datos!BF31)/Datos!BF31," - ")</f>
        <v>-0.24935540965335365</v>
      </c>
      <c r="K31" s="410">
        <f>IF(ISNUMBER((Tasas!E31-Datos!BG31)/Datos!BG31),(Tasas!E31-Datos!BG31)/Datos!BG31," - ")</f>
        <v>-0.13338582598955359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0.10501975541849451</v>
      </c>
      <c r="E33" s="303">
        <f t="shared" si="1"/>
        <v>0.48036099437292351</v>
      </c>
      <c r="F33" s="303">
        <f t="shared" si="1"/>
        <v>0.43190208993872747</v>
      </c>
      <c r="G33" s="304">
        <f t="shared" si="1"/>
        <v>0.18750313308328992</v>
      </c>
      <c r="H33" s="310">
        <f t="shared" si="1"/>
        <v>0.94725428010376633</v>
      </c>
      <c r="I33" s="302">
        <f t="shared" si="1"/>
        <v>1.6858491975500909</v>
      </c>
      <c r="J33" s="303">
        <f t="shared" si="1"/>
        <v>1.2391565305171652</v>
      </c>
      <c r="K33" s="304">
        <f t="shared" si="1"/>
        <v>1.2609933749869879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Bd4+wNnK10DV/AjojMogdBhuVHwPY10RGQaNDBtsPkWjfpDhAcohN9yVow+mr8YCFKKMFaT/BdQYp9Komhrrw==" saltValue="Iljcsid7at8nODDtG2AF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